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an Tracker" sheetId="1" r:id="rId1"/>
  </sheets>
  <calcPr calcId="171027" fullCalcOnLoad="1"/>
</workbook>
</file>

<file path=xl/styles.xml><?xml version="1.0" encoding="utf-8"?>
<styleSheet xmlns="http://schemas.openxmlformats.org/spreadsheetml/2006/main">
  <numFmts count="2">
    <numFmt numFmtId="164" formatCode="$#,##0.00;($#,##0.00);&quot;-&quot;"/>
    <numFmt numFmtId="165" formatCode="0.0%"/>
  </numFmts>
  <fonts count="6">
    <font>
      <sz val="10"/>
      <name val="Arial"/>
    </font>
    <font>
      <b/>
      <sz val="10"/>
      <name val="Arial"/>
    </font>
    <font>
      <sz val="10"/>
      <color rgb="FF0000FF"/>
      <name val="Arial"/>
    </font>
    <font>
      <i/>
      <sz val="9"/>
      <name val="Arial"/>
    </font>
    <font>
      <b/>
      <sz val="14"/>
      <name val="Arial"/>
    </font>
    <font>
      <b/>
      <sz val="11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0F172A"/>
      </patternFill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9">
    <xf numFmtId="0" fontId="0" fillId="0" borderId="0"/>
    <xf numFmtId="0" fontId="0" fillId="0" borderId="1" applyBorder="1"/>
    <xf numFmtId="164" fontId="0" fillId="0" borderId="1" applyNumberFormat="1" applyBorder="1"/>
    <xf numFmtId="164" fontId="2" fillId="0" borderId="1" applyNumberFormat="1" applyFont="1" applyBorder="1"/>
    <xf numFmtId="164" fontId="1" fillId="0" borderId="1" applyNumberFormat="1" applyFont="1" applyBorder="1"/>
    <xf numFmtId="164" fontId="1" fillId="4" borderId="1" applyNumberFormat="1" applyFont="1" applyFill="1" applyBorder="1"/>
    <xf numFmtId="164" fontId="1" fillId="2" borderId="1" applyNumberFormat="1" applyFont="1" applyFill="1" applyBorder="1"/>
    <xf numFmtId="165" fontId="0" fillId="0" borderId="1" applyNumberFormat="1" applyBorder="1"/>
    <xf numFmtId="165" fontId="2" fillId="2" borderId="1" applyNumberFormat="1" applyFont="1" applyFill="1" applyBorder="1"/>
    <xf numFmtId="0" fontId="4" fillId="0" borderId="0" applyFont="1"/>
    <xf numFmtId="0" fontId="3" fillId="0" borderId="0" applyFont="1"/>
    <xf numFmtId="0" fontId="5" fillId="3" borderId="1" applyFont="1" applyFill="1" applyBorder="1"/>
    <xf numFmtId="0" fontId="1" fillId="0" borderId="0" applyFont="1"/>
    <xf numFmtId="0" fontId="2" fillId="2" borderId="1" applyFont="1" applyFill="1" applyBorder="1"/>
    <xf numFmtId="164" fontId="2" fillId="2" borderId="1" applyNumberFormat="1" applyFont="1" applyFill="1" applyBorder="1"/>
    <xf numFmtId="0" fontId="1" fillId="4" borderId="1" applyFont="1" applyFill="1" applyBorder="1"/>
    <xf numFmtId="0" fontId="0" fillId="4" borderId="1" applyFill="1" applyBorder="1"/>
    <xf numFmtId="0" fontId="1" fillId="0" borderId="1" applyFont="1" applyBorder="1"/>
    <xf numFmtId="164" fontId="0" fillId="2" borderId="1" applyNumberForma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0" topLeftCell="A11" activePane="bottomLeft" state="frozen"/>
    </sheetView>
  </sheetViews>
  <cols>
    <col min="1" max="1" width="24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</cols>
  <sheetData>
    <row r="1">
      <c r="A1" s="9" t="inlineStr">
        <is>
          <t xml:space="preserve">Loan Amortization Tracker</t>
        </is>
      </c>
    </row>
    <row r="2">
      <c r="A2" s="10" t="inlineStr">
        <is>
          <t xml:space="preserve">Enter your loan details in the blue cells. The schedule below updates automatically (up to 480 months).</t>
        </is>
      </c>
    </row>
    <row r="4">
      <c r="A4" s="1" t="inlineStr">
        <is>
          <t xml:space="preserve">Loan Amount</t>
        </is>
      </c>
      <c r="B4" s="14">
        <v>250000</v>
      </c>
    </row>
    <row r="5">
      <c r="A5" s="1" t="inlineStr">
        <is>
          <t xml:space="preserve">Annual Interest Rate</t>
        </is>
      </c>
      <c r="B5" s="8">
        <v>0.065</v>
      </c>
    </row>
    <row r="6">
      <c r="A6" s="1" t="inlineStr">
        <is>
          <t xml:space="preserve">Term (years)</t>
        </is>
      </c>
      <c r="B6" s="13">
        <v>30</v>
      </c>
    </row>
    <row r="7">
      <c r="A7" s="17" t="inlineStr">
        <is>
          <t xml:space="preserve">Monthly Payment</t>
        </is>
      </c>
      <c r="B7" s="4">
        <f>IF(B5=0,B4/(B6*12),-PMT(B5/12,B6*12,B4))</f>
      </c>
    </row>
    <row r="8">
      <c r="A8" s="17" t="inlineStr">
        <is>
          <t xml:space="preserve">Total Interest (no extra payments)</t>
        </is>
      </c>
      <c r="B8" s="4">
        <f>B7*B6*12-B4</f>
      </c>
    </row>
    <row r="10">
      <c r="A10" s="11" t="inlineStr">
        <is>
          <t xml:space="preserve">Month</t>
        </is>
      </c>
      <c r="B10" s="11" t="inlineStr">
        <is>
          <t xml:space="preserve">Payment</t>
        </is>
      </c>
      <c r="C10" s="11" t="inlineStr">
        <is>
          <t xml:space="preserve">Interest</t>
        </is>
      </c>
      <c r="D10" s="11" t="inlineStr">
        <is>
          <t xml:space="preserve">Principal</t>
        </is>
      </c>
      <c r="E10" s="11" t="inlineStr">
        <is>
          <t xml:space="preserve">Extra Payment</t>
        </is>
      </c>
      <c r="F10" s="11" t="inlineStr">
        <is>
          <t xml:space="preserve">Balance</t>
        </is>
      </c>
    </row>
    <row r="11">
      <c r="A11" s="1">
        <f>IF(N($B$4)&gt;0.005,1,"")</f>
      </c>
      <c r="B11" s="2">
        <f>IF(N($B$4)&gt;0.005,MIN($B$7,N($B$4)*(1+$B$5/12)),"")</f>
      </c>
      <c r="C11" s="2">
        <f>IF(N($B$4)&gt;0.005,N($B$4)*$B$5/12,"")</f>
      </c>
      <c r="D11" s="2">
        <f>IF(N($B$4)&gt;0.005,N(B11)-N(C11),"")</f>
      </c>
      <c r="E11" s="3">
        <v>0</v>
      </c>
      <c r="F11" s="2">
        <f>IF(N($B$4)&gt;0.005,MAX(0,N($B$4)-N(D11)-N(E11)),"")</f>
      </c>
    </row>
    <row r="12">
      <c r="A12" s="1">
        <f>IF(N(F11)&gt;0.005,2,"")</f>
      </c>
      <c r="B12" s="2">
        <f>IF(N(F11)&gt;0.005,MIN($B$7,N(F11)*(1+$B$5/12)),"")</f>
      </c>
      <c r="C12" s="2">
        <f>IF(N(F11)&gt;0.005,N(F11)*$B$5/12,"")</f>
      </c>
      <c r="D12" s="2">
        <f>IF(N(F11)&gt;0.005,N(B12)-N(C12),"")</f>
      </c>
      <c r="E12" s="3">
        <v>0</v>
      </c>
      <c r="F12" s="2">
        <f>IF(N(F11)&gt;0.005,MAX(0,N(F11)-N(D12)-N(E12)),"")</f>
      </c>
    </row>
    <row r="13">
      <c r="A13" s="1">
        <f>IF(N(F12)&gt;0.005,3,"")</f>
      </c>
      <c r="B13" s="2">
        <f>IF(N(F12)&gt;0.005,MIN($B$7,N(F12)*(1+$B$5/12)),"")</f>
      </c>
      <c r="C13" s="2">
        <f>IF(N(F12)&gt;0.005,N(F12)*$B$5/12,"")</f>
      </c>
      <c r="D13" s="2">
        <f>IF(N(F12)&gt;0.005,N(B13)-N(C13),"")</f>
      </c>
      <c r="E13" s="3">
        <v>0</v>
      </c>
      <c r="F13" s="2">
        <f>IF(N(F12)&gt;0.005,MAX(0,N(F12)-N(D13)-N(E13)),"")</f>
      </c>
    </row>
    <row r="14">
      <c r="A14" s="1">
        <f>IF(N(F13)&gt;0.005,4,"")</f>
      </c>
      <c r="B14" s="2">
        <f>IF(N(F13)&gt;0.005,MIN($B$7,N(F13)*(1+$B$5/12)),"")</f>
      </c>
      <c r="C14" s="2">
        <f>IF(N(F13)&gt;0.005,N(F13)*$B$5/12,"")</f>
      </c>
      <c r="D14" s="2">
        <f>IF(N(F13)&gt;0.005,N(B14)-N(C14),"")</f>
      </c>
      <c r="E14" s="3">
        <v>0</v>
      </c>
      <c r="F14" s="2">
        <f>IF(N(F13)&gt;0.005,MAX(0,N(F13)-N(D14)-N(E14)),"")</f>
      </c>
    </row>
    <row r="15">
      <c r="A15" s="1">
        <f>IF(N(F14)&gt;0.005,5,"")</f>
      </c>
      <c r="B15" s="2">
        <f>IF(N(F14)&gt;0.005,MIN($B$7,N(F14)*(1+$B$5/12)),"")</f>
      </c>
      <c r="C15" s="2">
        <f>IF(N(F14)&gt;0.005,N(F14)*$B$5/12,"")</f>
      </c>
      <c r="D15" s="2">
        <f>IF(N(F14)&gt;0.005,N(B15)-N(C15),"")</f>
      </c>
      <c r="E15" s="3">
        <v>0</v>
      </c>
      <c r="F15" s="2">
        <f>IF(N(F14)&gt;0.005,MAX(0,N(F14)-N(D15)-N(E15)),"")</f>
      </c>
    </row>
    <row r="16">
      <c r="A16" s="1">
        <f>IF(N(F15)&gt;0.005,6,"")</f>
      </c>
      <c r="B16" s="2">
        <f>IF(N(F15)&gt;0.005,MIN($B$7,N(F15)*(1+$B$5/12)),"")</f>
      </c>
      <c r="C16" s="2">
        <f>IF(N(F15)&gt;0.005,N(F15)*$B$5/12,"")</f>
      </c>
      <c r="D16" s="2">
        <f>IF(N(F15)&gt;0.005,N(B16)-N(C16),"")</f>
      </c>
      <c r="E16" s="3">
        <v>0</v>
      </c>
      <c r="F16" s="2">
        <f>IF(N(F15)&gt;0.005,MAX(0,N(F15)-N(D16)-N(E16)),"")</f>
      </c>
    </row>
    <row r="17">
      <c r="A17" s="1">
        <f>IF(N(F16)&gt;0.005,7,"")</f>
      </c>
      <c r="B17" s="2">
        <f>IF(N(F16)&gt;0.005,MIN($B$7,N(F16)*(1+$B$5/12)),"")</f>
      </c>
      <c r="C17" s="2">
        <f>IF(N(F16)&gt;0.005,N(F16)*$B$5/12,"")</f>
      </c>
      <c r="D17" s="2">
        <f>IF(N(F16)&gt;0.005,N(B17)-N(C17),"")</f>
      </c>
      <c r="E17" s="3">
        <v>0</v>
      </c>
      <c r="F17" s="2">
        <f>IF(N(F16)&gt;0.005,MAX(0,N(F16)-N(D17)-N(E17)),"")</f>
      </c>
    </row>
    <row r="18">
      <c r="A18" s="1">
        <f>IF(N(F17)&gt;0.005,8,"")</f>
      </c>
      <c r="B18" s="2">
        <f>IF(N(F17)&gt;0.005,MIN($B$7,N(F17)*(1+$B$5/12)),"")</f>
      </c>
      <c r="C18" s="2">
        <f>IF(N(F17)&gt;0.005,N(F17)*$B$5/12,"")</f>
      </c>
      <c r="D18" s="2">
        <f>IF(N(F17)&gt;0.005,N(B18)-N(C18),"")</f>
      </c>
      <c r="E18" s="3">
        <v>0</v>
      </c>
      <c r="F18" s="2">
        <f>IF(N(F17)&gt;0.005,MAX(0,N(F17)-N(D18)-N(E18)),"")</f>
      </c>
    </row>
    <row r="19">
      <c r="A19" s="1">
        <f>IF(N(F18)&gt;0.005,9,"")</f>
      </c>
      <c r="B19" s="2">
        <f>IF(N(F18)&gt;0.005,MIN($B$7,N(F18)*(1+$B$5/12)),"")</f>
      </c>
      <c r="C19" s="2">
        <f>IF(N(F18)&gt;0.005,N(F18)*$B$5/12,"")</f>
      </c>
      <c r="D19" s="2">
        <f>IF(N(F18)&gt;0.005,N(B19)-N(C19),"")</f>
      </c>
      <c r="E19" s="3">
        <v>0</v>
      </c>
      <c r="F19" s="2">
        <f>IF(N(F18)&gt;0.005,MAX(0,N(F18)-N(D19)-N(E19)),"")</f>
      </c>
    </row>
    <row r="20">
      <c r="A20" s="1">
        <f>IF(N(F19)&gt;0.005,10,"")</f>
      </c>
      <c r="B20" s="2">
        <f>IF(N(F19)&gt;0.005,MIN($B$7,N(F19)*(1+$B$5/12)),"")</f>
      </c>
      <c r="C20" s="2">
        <f>IF(N(F19)&gt;0.005,N(F19)*$B$5/12,"")</f>
      </c>
      <c r="D20" s="2">
        <f>IF(N(F19)&gt;0.005,N(B20)-N(C20),"")</f>
      </c>
      <c r="E20" s="3">
        <v>0</v>
      </c>
      <c r="F20" s="2">
        <f>IF(N(F19)&gt;0.005,MAX(0,N(F19)-N(D20)-N(E20)),"")</f>
      </c>
    </row>
    <row r="21">
      <c r="A21" s="1">
        <f>IF(N(F20)&gt;0.005,11,"")</f>
      </c>
      <c r="B21" s="2">
        <f>IF(N(F20)&gt;0.005,MIN($B$7,N(F20)*(1+$B$5/12)),"")</f>
      </c>
      <c r="C21" s="2">
        <f>IF(N(F20)&gt;0.005,N(F20)*$B$5/12,"")</f>
      </c>
      <c r="D21" s="2">
        <f>IF(N(F20)&gt;0.005,N(B21)-N(C21),"")</f>
      </c>
      <c r="E21" s="3">
        <v>0</v>
      </c>
      <c r="F21" s="2">
        <f>IF(N(F20)&gt;0.005,MAX(0,N(F20)-N(D21)-N(E21)),"")</f>
      </c>
    </row>
    <row r="22">
      <c r="A22" s="1">
        <f>IF(N(F21)&gt;0.005,12,"")</f>
      </c>
      <c r="B22" s="2">
        <f>IF(N(F21)&gt;0.005,MIN($B$7,N(F21)*(1+$B$5/12)),"")</f>
      </c>
      <c r="C22" s="2">
        <f>IF(N(F21)&gt;0.005,N(F21)*$B$5/12,"")</f>
      </c>
      <c r="D22" s="2">
        <f>IF(N(F21)&gt;0.005,N(B22)-N(C22),"")</f>
      </c>
      <c r="E22" s="3">
        <v>0</v>
      </c>
      <c r="F22" s="2">
        <f>IF(N(F21)&gt;0.005,MAX(0,N(F21)-N(D22)-N(E22)),"")</f>
      </c>
    </row>
    <row r="23">
      <c r="A23" s="1">
        <f>IF(N(F22)&gt;0.005,13,"")</f>
      </c>
      <c r="B23" s="2">
        <f>IF(N(F22)&gt;0.005,MIN($B$7,N(F22)*(1+$B$5/12)),"")</f>
      </c>
      <c r="C23" s="2">
        <f>IF(N(F22)&gt;0.005,N(F22)*$B$5/12,"")</f>
      </c>
      <c r="D23" s="2">
        <f>IF(N(F22)&gt;0.005,N(B23)-N(C23),"")</f>
      </c>
      <c r="E23" s="3">
        <v>0</v>
      </c>
      <c r="F23" s="2">
        <f>IF(N(F22)&gt;0.005,MAX(0,N(F22)-N(D23)-N(E23)),"")</f>
      </c>
    </row>
    <row r="24">
      <c r="A24" s="1">
        <f>IF(N(F23)&gt;0.005,14,"")</f>
      </c>
      <c r="B24" s="2">
        <f>IF(N(F23)&gt;0.005,MIN($B$7,N(F23)*(1+$B$5/12)),"")</f>
      </c>
      <c r="C24" s="2">
        <f>IF(N(F23)&gt;0.005,N(F23)*$B$5/12,"")</f>
      </c>
      <c r="D24" s="2">
        <f>IF(N(F23)&gt;0.005,N(B24)-N(C24),"")</f>
      </c>
      <c r="E24" s="3">
        <v>0</v>
      </c>
      <c r="F24" s="2">
        <f>IF(N(F23)&gt;0.005,MAX(0,N(F23)-N(D24)-N(E24)),"")</f>
      </c>
    </row>
    <row r="25">
      <c r="A25" s="1">
        <f>IF(N(F24)&gt;0.005,15,"")</f>
      </c>
      <c r="B25" s="2">
        <f>IF(N(F24)&gt;0.005,MIN($B$7,N(F24)*(1+$B$5/12)),"")</f>
      </c>
      <c r="C25" s="2">
        <f>IF(N(F24)&gt;0.005,N(F24)*$B$5/12,"")</f>
      </c>
      <c r="D25" s="2">
        <f>IF(N(F24)&gt;0.005,N(B25)-N(C25),"")</f>
      </c>
      <c r="E25" s="3">
        <v>0</v>
      </c>
      <c r="F25" s="2">
        <f>IF(N(F24)&gt;0.005,MAX(0,N(F24)-N(D25)-N(E25)),"")</f>
      </c>
    </row>
    <row r="26">
      <c r="A26" s="1">
        <f>IF(N(F25)&gt;0.005,16,"")</f>
      </c>
      <c r="B26" s="2">
        <f>IF(N(F25)&gt;0.005,MIN($B$7,N(F25)*(1+$B$5/12)),"")</f>
      </c>
      <c r="C26" s="2">
        <f>IF(N(F25)&gt;0.005,N(F25)*$B$5/12,"")</f>
      </c>
      <c r="D26" s="2">
        <f>IF(N(F25)&gt;0.005,N(B26)-N(C26),"")</f>
      </c>
      <c r="E26" s="3">
        <v>0</v>
      </c>
      <c r="F26" s="2">
        <f>IF(N(F25)&gt;0.005,MAX(0,N(F25)-N(D26)-N(E26)),"")</f>
      </c>
    </row>
    <row r="27">
      <c r="A27" s="1">
        <f>IF(N(F26)&gt;0.005,17,"")</f>
      </c>
      <c r="B27" s="2">
        <f>IF(N(F26)&gt;0.005,MIN($B$7,N(F26)*(1+$B$5/12)),"")</f>
      </c>
      <c r="C27" s="2">
        <f>IF(N(F26)&gt;0.005,N(F26)*$B$5/12,"")</f>
      </c>
      <c r="D27" s="2">
        <f>IF(N(F26)&gt;0.005,N(B27)-N(C27),"")</f>
      </c>
      <c r="E27" s="3">
        <v>0</v>
      </c>
      <c r="F27" s="2">
        <f>IF(N(F26)&gt;0.005,MAX(0,N(F26)-N(D27)-N(E27)),"")</f>
      </c>
    </row>
    <row r="28">
      <c r="A28" s="1">
        <f>IF(N(F27)&gt;0.005,18,"")</f>
      </c>
      <c r="B28" s="2">
        <f>IF(N(F27)&gt;0.005,MIN($B$7,N(F27)*(1+$B$5/12)),"")</f>
      </c>
      <c r="C28" s="2">
        <f>IF(N(F27)&gt;0.005,N(F27)*$B$5/12,"")</f>
      </c>
      <c r="D28" s="2">
        <f>IF(N(F27)&gt;0.005,N(B28)-N(C28),"")</f>
      </c>
      <c r="E28" s="3">
        <v>0</v>
      </c>
      <c r="F28" s="2">
        <f>IF(N(F27)&gt;0.005,MAX(0,N(F27)-N(D28)-N(E28)),"")</f>
      </c>
    </row>
    <row r="29">
      <c r="A29" s="1">
        <f>IF(N(F28)&gt;0.005,19,"")</f>
      </c>
      <c r="B29" s="2">
        <f>IF(N(F28)&gt;0.005,MIN($B$7,N(F28)*(1+$B$5/12)),"")</f>
      </c>
      <c r="C29" s="2">
        <f>IF(N(F28)&gt;0.005,N(F28)*$B$5/12,"")</f>
      </c>
      <c r="D29" s="2">
        <f>IF(N(F28)&gt;0.005,N(B29)-N(C29),"")</f>
      </c>
      <c r="E29" s="3">
        <v>0</v>
      </c>
      <c r="F29" s="2">
        <f>IF(N(F28)&gt;0.005,MAX(0,N(F28)-N(D29)-N(E29)),"")</f>
      </c>
    </row>
    <row r="30">
      <c r="A30" s="1">
        <f>IF(N(F29)&gt;0.005,20,"")</f>
      </c>
      <c r="B30" s="2">
        <f>IF(N(F29)&gt;0.005,MIN($B$7,N(F29)*(1+$B$5/12)),"")</f>
      </c>
      <c r="C30" s="2">
        <f>IF(N(F29)&gt;0.005,N(F29)*$B$5/12,"")</f>
      </c>
      <c r="D30" s="2">
        <f>IF(N(F29)&gt;0.005,N(B30)-N(C30),"")</f>
      </c>
      <c r="E30" s="3">
        <v>0</v>
      </c>
      <c r="F30" s="2">
        <f>IF(N(F29)&gt;0.005,MAX(0,N(F29)-N(D30)-N(E30)),"")</f>
      </c>
    </row>
    <row r="31">
      <c r="A31" s="1">
        <f>IF(N(F30)&gt;0.005,21,"")</f>
      </c>
      <c r="B31" s="2">
        <f>IF(N(F30)&gt;0.005,MIN($B$7,N(F30)*(1+$B$5/12)),"")</f>
      </c>
      <c r="C31" s="2">
        <f>IF(N(F30)&gt;0.005,N(F30)*$B$5/12,"")</f>
      </c>
      <c r="D31" s="2">
        <f>IF(N(F30)&gt;0.005,N(B31)-N(C31),"")</f>
      </c>
      <c r="E31" s="3">
        <v>0</v>
      </c>
      <c r="F31" s="2">
        <f>IF(N(F30)&gt;0.005,MAX(0,N(F30)-N(D31)-N(E31)),"")</f>
      </c>
    </row>
    <row r="32">
      <c r="A32" s="1">
        <f>IF(N(F31)&gt;0.005,22,"")</f>
      </c>
      <c r="B32" s="2">
        <f>IF(N(F31)&gt;0.005,MIN($B$7,N(F31)*(1+$B$5/12)),"")</f>
      </c>
      <c r="C32" s="2">
        <f>IF(N(F31)&gt;0.005,N(F31)*$B$5/12,"")</f>
      </c>
      <c r="D32" s="2">
        <f>IF(N(F31)&gt;0.005,N(B32)-N(C32),"")</f>
      </c>
      <c r="E32" s="3">
        <v>0</v>
      </c>
      <c r="F32" s="2">
        <f>IF(N(F31)&gt;0.005,MAX(0,N(F31)-N(D32)-N(E32)),"")</f>
      </c>
    </row>
    <row r="33">
      <c r="A33" s="1">
        <f>IF(N(F32)&gt;0.005,23,"")</f>
      </c>
      <c r="B33" s="2">
        <f>IF(N(F32)&gt;0.005,MIN($B$7,N(F32)*(1+$B$5/12)),"")</f>
      </c>
      <c r="C33" s="2">
        <f>IF(N(F32)&gt;0.005,N(F32)*$B$5/12,"")</f>
      </c>
      <c r="D33" s="2">
        <f>IF(N(F32)&gt;0.005,N(B33)-N(C33),"")</f>
      </c>
      <c r="E33" s="3">
        <v>0</v>
      </c>
      <c r="F33" s="2">
        <f>IF(N(F32)&gt;0.005,MAX(0,N(F32)-N(D33)-N(E33)),"")</f>
      </c>
    </row>
    <row r="34">
      <c r="A34" s="1">
        <f>IF(N(F33)&gt;0.005,24,"")</f>
      </c>
      <c r="B34" s="2">
        <f>IF(N(F33)&gt;0.005,MIN($B$7,N(F33)*(1+$B$5/12)),"")</f>
      </c>
      <c r="C34" s="2">
        <f>IF(N(F33)&gt;0.005,N(F33)*$B$5/12,"")</f>
      </c>
      <c r="D34" s="2">
        <f>IF(N(F33)&gt;0.005,N(B34)-N(C34),"")</f>
      </c>
      <c r="E34" s="3">
        <v>0</v>
      </c>
      <c r="F34" s="2">
        <f>IF(N(F33)&gt;0.005,MAX(0,N(F33)-N(D34)-N(E34)),"")</f>
      </c>
    </row>
    <row r="35">
      <c r="A35" s="1">
        <f>IF(N(F34)&gt;0.005,25,"")</f>
      </c>
      <c r="B35" s="2">
        <f>IF(N(F34)&gt;0.005,MIN($B$7,N(F34)*(1+$B$5/12)),"")</f>
      </c>
      <c r="C35" s="2">
        <f>IF(N(F34)&gt;0.005,N(F34)*$B$5/12,"")</f>
      </c>
      <c r="D35" s="2">
        <f>IF(N(F34)&gt;0.005,N(B35)-N(C35),"")</f>
      </c>
      <c r="E35" s="3">
        <v>0</v>
      </c>
      <c r="F35" s="2">
        <f>IF(N(F34)&gt;0.005,MAX(0,N(F34)-N(D35)-N(E35)),"")</f>
      </c>
    </row>
    <row r="36">
      <c r="A36" s="1">
        <f>IF(N(F35)&gt;0.005,26,"")</f>
      </c>
      <c r="B36" s="2">
        <f>IF(N(F35)&gt;0.005,MIN($B$7,N(F35)*(1+$B$5/12)),"")</f>
      </c>
      <c r="C36" s="2">
        <f>IF(N(F35)&gt;0.005,N(F35)*$B$5/12,"")</f>
      </c>
      <c r="D36" s="2">
        <f>IF(N(F35)&gt;0.005,N(B36)-N(C36),"")</f>
      </c>
      <c r="E36" s="3">
        <v>0</v>
      </c>
      <c r="F36" s="2">
        <f>IF(N(F35)&gt;0.005,MAX(0,N(F35)-N(D36)-N(E36)),"")</f>
      </c>
    </row>
    <row r="37">
      <c r="A37" s="1">
        <f>IF(N(F36)&gt;0.005,27,"")</f>
      </c>
      <c r="B37" s="2">
        <f>IF(N(F36)&gt;0.005,MIN($B$7,N(F36)*(1+$B$5/12)),"")</f>
      </c>
      <c r="C37" s="2">
        <f>IF(N(F36)&gt;0.005,N(F36)*$B$5/12,"")</f>
      </c>
      <c r="D37" s="2">
        <f>IF(N(F36)&gt;0.005,N(B37)-N(C37),"")</f>
      </c>
      <c r="E37" s="3">
        <v>0</v>
      </c>
      <c r="F37" s="2">
        <f>IF(N(F36)&gt;0.005,MAX(0,N(F36)-N(D37)-N(E37)),"")</f>
      </c>
    </row>
    <row r="38">
      <c r="A38" s="1">
        <f>IF(N(F37)&gt;0.005,28,"")</f>
      </c>
      <c r="B38" s="2">
        <f>IF(N(F37)&gt;0.005,MIN($B$7,N(F37)*(1+$B$5/12)),"")</f>
      </c>
      <c r="C38" s="2">
        <f>IF(N(F37)&gt;0.005,N(F37)*$B$5/12,"")</f>
      </c>
      <c r="D38" s="2">
        <f>IF(N(F37)&gt;0.005,N(B38)-N(C38),"")</f>
      </c>
      <c r="E38" s="3">
        <v>0</v>
      </c>
      <c r="F38" s="2">
        <f>IF(N(F37)&gt;0.005,MAX(0,N(F37)-N(D38)-N(E38)),"")</f>
      </c>
    </row>
    <row r="39">
      <c r="A39" s="1">
        <f>IF(N(F38)&gt;0.005,29,"")</f>
      </c>
      <c r="B39" s="2">
        <f>IF(N(F38)&gt;0.005,MIN($B$7,N(F38)*(1+$B$5/12)),"")</f>
      </c>
      <c r="C39" s="2">
        <f>IF(N(F38)&gt;0.005,N(F38)*$B$5/12,"")</f>
      </c>
      <c r="D39" s="2">
        <f>IF(N(F38)&gt;0.005,N(B39)-N(C39),"")</f>
      </c>
      <c r="E39" s="3">
        <v>0</v>
      </c>
      <c r="F39" s="2">
        <f>IF(N(F38)&gt;0.005,MAX(0,N(F38)-N(D39)-N(E39)),"")</f>
      </c>
    </row>
    <row r="40">
      <c r="A40" s="1">
        <f>IF(N(F39)&gt;0.005,30,"")</f>
      </c>
      <c r="B40" s="2">
        <f>IF(N(F39)&gt;0.005,MIN($B$7,N(F39)*(1+$B$5/12)),"")</f>
      </c>
      <c r="C40" s="2">
        <f>IF(N(F39)&gt;0.005,N(F39)*$B$5/12,"")</f>
      </c>
      <c r="D40" s="2">
        <f>IF(N(F39)&gt;0.005,N(B40)-N(C40),"")</f>
      </c>
      <c r="E40" s="3">
        <v>0</v>
      </c>
      <c r="F40" s="2">
        <f>IF(N(F39)&gt;0.005,MAX(0,N(F39)-N(D40)-N(E40)),"")</f>
      </c>
    </row>
    <row r="41">
      <c r="A41" s="1">
        <f>IF(N(F40)&gt;0.005,31,"")</f>
      </c>
      <c r="B41" s="2">
        <f>IF(N(F40)&gt;0.005,MIN($B$7,N(F40)*(1+$B$5/12)),"")</f>
      </c>
      <c r="C41" s="2">
        <f>IF(N(F40)&gt;0.005,N(F40)*$B$5/12,"")</f>
      </c>
      <c r="D41" s="2">
        <f>IF(N(F40)&gt;0.005,N(B41)-N(C41),"")</f>
      </c>
      <c r="E41" s="3">
        <v>0</v>
      </c>
      <c r="F41" s="2">
        <f>IF(N(F40)&gt;0.005,MAX(0,N(F40)-N(D41)-N(E41)),"")</f>
      </c>
    </row>
    <row r="42">
      <c r="A42" s="1">
        <f>IF(N(F41)&gt;0.005,32,"")</f>
      </c>
      <c r="B42" s="2">
        <f>IF(N(F41)&gt;0.005,MIN($B$7,N(F41)*(1+$B$5/12)),"")</f>
      </c>
      <c r="C42" s="2">
        <f>IF(N(F41)&gt;0.005,N(F41)*$B$5/12,"")</f>
      </c>
      <c r="D42" s="2">
        <f>IF(N(F41)&gt;0.005,N(B42)-N(C42),"")</f>
      </c>
      <c r="E42" s="3">
        <v>0</v>
      </c>
      <c r="F42" s="2">
        <f>IF(N(F41)&gt;0.005,MAX(0,N(F41)-N(D42)-N(E42)),"")</f>
      </c>
    </row>
    <row r="43">
      <c r="A43" s="1">
        <f>IF(N(F42)&gt;0.005,33,"")</f>
      </c>
      <c r="B43" s="2">
        <f>IF(N(F42)&gt;0.005,MIN($B$7,N(F42)*(1+$B$5/12)),"")</f>
      </c>
      <c r="C43" s="2">
        <f>IF(N(F42)&gt;0.005,N(F42)*$B$5/12,"")</f>
      </c>
      <c r="D43" s="2">
        <f>IF(N(F42)&gt;0.005,N(B43)-N(C43),"")</f>
      </c>
      <c r="E43" s="3">
        <v>0</v>
      </c>
      <c r="F43" s="2">
        <f>IF(N(F42)&gt;0.005,MAX(0,N(F42)-N(D43)-N(E43)),"")</f>
      </c>
    </row>
    <row r="44">
      <c r="A44" s="1">
        <f>IF(N(F43)&gt;0.005,34,"")</f>
      </c>
      <c r="B44" s="2">
        <f>IF(N(F43)&gt;0.005,MIN($B$7,N(F43)*(1+$B$5/12)),"")</f>
      </c>
      <c r="C44" s="2">
        <f>IF(N(F43)&gt;0.005,N(F43)*$B$5/12,"")</f>
      </c>
      <c r="D44" s="2">
        <f>IF(N(F43)&gt;0.005,N(B44)-N(C44),"")</f>
      </c>
      <c r="E44" s="3">
        <v>0</v>
      </c>
      <c r="F44" s="2">
        <f>IF(N(F43)&gt;0.005,MAX(0,N(F43)-N(D44)-N(E44)),"")</f>
      </c>
    </row>
    <row r="45">
      <c r="A45" s="1">
        <f>IF(N(F44)&gt;0.005,35,"")</f>
      </c>
      <c r="B45" s="2">
        <f>IF(N(F44)&gt;0.005,MIN($B$7,N(F44)*(1+$B$5/12)),"")</f>
      </c>
      <c r="C45" s="2">
        <f>IF(N(F44)&gt;0.005,N(F44)*$B$5/12,"")</f>
      </c>
      <c r="D45" s="2">
        <f>IF(N(F44)&gt;0.005,N(B45)-N(C45),"")</f>
      </c>
      <c r="E45" s="3">
        <v>0</v>
      </c>
      <c r="F45" s="2">
        <f>IF(N(F44)&gt;0.005,MAX(0,N(F44)-N(D45)-N(E45)),"")</f>
      </c>
    </row>
    <row r="46">
      <c r="A46" s="1">
        <f>IF(N(F45)&gt;0.005,36,"")</f>
      </c>
      <c r="B46" s="2">
        <f>IF(N(F45)&gt;0.005,MIN($B$7,N(F45)*(1+$B$5/12)),"")</f>
      </c>
      <c r="C46" s="2">
        <f>IF(N(F45)&gt;0.005,N(F45)*$B$5/12,"")</f>
      </c>
      <c r="D46" s="2">
        <f>IF(N(F45)&gt;0.005,N(B46)-N(C46),"")</f>
      </c>
      <c r="E46" s="3">
        <v>0</v>
      </c>
      <c r="F46" s="2">
        <f>IF(N(F45)&gt;0.005,MAX(0,N(F45)-N(D46)-N(E46)),"")</f>
      </c>
    </row>
    <row r="47">
      <c r="A47" s="1">
        <f>IF(N(F46)&gt;0.005,37,"")</f>
      </c>
      <c r="B47" s="2">
        <f>IF(N(F46)&gt;0.005,MIN($B$7,N(F46)*(1+$B$5/12)),"")</f>
      </c>
      <c r="C47" s="2">
        <f>IF(N(F46)&gt;0.005,N(F46)*$B$5/12,"")</f>
      </c>
      <c r="D47" s="2">
        <f>IF(N(F46)&gt;0.005,N(B47)-N(C47),"")</f>
      </c>
      <c r="E47" s="3">
        <v>0</v>
      </c>
      <c r="F47" s="2">
        <f>IF(N(F46)&gt;0.005,MAX(0,N(F46)-N(D47)-N(E47)),"")</f>
      </c>
    </row>
    <row r="48">
      <c r="A48" s="1">
        <f>IF(N(F47)&gt;0.005,38,"")</f>
      </c>
      <c r="B48" s="2">
        <f>IF(N(F47)&gt;0.005,MIN($B$7,N(F47)*(1+$B$5/12)),"")</f>
      </c>
      <c r="C48" s="2">
        <f>IF(N(F47)&gt;0.005,N(F47)*$B$5/12,"")</f>
      </c>
      <c r="D48" s="2">
        <f>IF(N(F47)&gt;0.005,N(B48)-N(C48),"")</f>
      </c>
      <c r="E48" s="3">
        <v>0</v>
      </c>
      <c r="F48" s="2">
        <f>IF(N(F47)&gt;0.005,MAX(0,N(F47)-N(D48)-N(E48)),"")</f>
      </c>
    </row>
    <row r="49">
      <c r="A49" s="1">
        <f>IF(N(F48)&gt;0.005,39,"")</f>
      </c>
      <c r="B49" s="2">
        <f>IF(N(F48)&gt;0.005,MIN($B$7,N(F48)*(1+$B$5/12)),"")</f>
      </c>
      <c r="C49" s="2">
        <f>IF(N(F48)&gt;0.005,N(F48)*$B$5/12,"")</f>
      </c>
      <c r="D49" s="2">
        <f>IF(N(F48)&gt;0.005,N(B49)-N(C49),"")</f>
      </c>
      <c r="E49" s="3">
        <v>0</v>
      </c>
      <c r="F49" s="2">
        <f>IF(N(F48)&gt;0.005,MAX(0,N(F48)-N(D49)-N(E49)),"")</f>
      </c>
    </row>
    <row r="50">
      <c r="A50" s="1">
        <f>IF(N(F49)&gt;0.005,40,"")</f>
      </c>
      <c r="B50" s="2">
        <f>IF(N(F49)&gt;0.005,MIN($B$7,N(F49)*(1+$B$5/12)),"")</f>
      </c>
      <c r="C50" s="2">
        <f>IF(N(F49)&gt;0.005,N(F49)*$B$5/12,"")</f>
      </c>
      <c r="D50" s="2">
        <f>IF(N(F49)&gt;0.005,N(B50)-N(C50),"")</f>
      </c>
      <c r="E50" s="3">
        <v>0</v>
      </c>
      <c r="F50" s="2">
        <f>IF(N(F49)&gt;0.005,MAX(0,N(F49)-N(D50)-N(E50)),"")</f>
      </c>
    </row>
    <row r="51">
      <c r="A51" s="1">
        <f>IF(N(F50)&gt;0.005,41,"")</f>
      </c>
      <c r="B51" s="2">
        <f>IF(N(F50)&gt;0.005,MIN($B$7,N(F50)*(1+$B$5/12)),"")</f>
      </c>
      <c r="C51" s="2">
        <f>IF(N(F50)&gt;0.005,N(F50)*$B$5/12,"")</f>
      </c>
      <c r="D51" s="2">
        <f>IF(N(F50)&gt;0.005,N(B51)-N(C51),"")</f>
      </c>
      <c r="E51" s="3">
        <v>0</v>
      </c>
      <c r="F51" s="2">
        <f>IF(N(F50)&gt;0.005,MAX(0,N(F50)-N(D51)-N(E51)),"")</f>
      </c>
    </row>
    <row r="52">
      <c r="A52" s="1">
        <f>IF(N(F51)&gt;0.005,42,"")</f>
      </c>
      <c r="B52" s="2">
        <f>IF(N(F51)&gt;0.005,MIN($B$7,N(F51)*(1+$B$5/12)),"")</f>
      </c>
      <c r="C52" s="2">
        <f>IF(N(F51)&gt;0.005,N(F51)*$B$5/12,"")</f>
      </c>
      <c r="D52" s="2">
        <f>IF(N(F51)&gt;0.005,N(B52)-N(C52),"")</f>
      </c>
      <c r="E52" s="3">
        <v>0</v>
      </c>
      <c r="F52" s="2">
        <f>IF(N(F51)&gt;0.005,MAX(0,N(F51)-N(D52)-N(E52)),"")</f>
      </c>
    </row>
    <row r="53">
      <c r="A53" s="1">
        <f>IF(N(F52)&gt;0.005,43,"")</f>
      </c>
      <c r="B53" s="2">
        <f>IF(N(F52)&gt;0.005,MIN($B$7,N(F52)*(1+$B$5/12)),"")</f>
      </c>
      <c r="C53" s="2">
        <f>IF(N(F52)&gt;0.005,N(F52)*$B$5/12,"")</f>
      </c>
      <c r="D53" s="2">
        <f>IF(N(F52)&gt;0.005,N(B53)-N(C53),"")</f>
      </c>
      <c r="E53" s="3">
        <v>0</v>
      </c>
      <c r="F53" s="2">
        <f>IF(N(F52)&gt;0.005,MAX(0,N(F52)-N(D53)-N(E53)),"")</f>
      </c>
    </row>
    <row r="54">
      <c r="A54" s="1">
        <f>IF(N(F53)&gt;0.005,44,"")</f>
      </c>
      <c r="B54" s="2">
        <f>IF(N(F53)&gt;0.005,MIN($B$7,N(F53)*(1+$B$5/12)),"")</f>
      </c>
      <c r="C54" s="2">
        <f>IF(N(F53)&gt;0.005,N(F53)*$B$5/12,"")</f>
      </c>
      <c r="D54" s="2">
        <f>IF(N(F53)&gt;0.005,N(B54)-N(C54),"")</f>
      </c>
      <c r="E54" s="3">
        <v>0</v>
      </c>
      <c r="F54" s="2">
        <f>IF(N(F53)&gt;0.005,MAX(0,N(F53)-N(D54)-N(E54)),"")</f>
      </c>
    </row>
    <row r="55">
      <c r="A55" s="1">
        <f>IF(N(F54)&gt;0.005,45,"")</f>
      </c>
      <c r="B55" s="2">
        <f>IF(N(F54)&gt;0.005,MIN($B$7,N(F54)*(1+$B$5/12)),"")</f>
      </c>
      <c r="C55" s="2">
        <f>IF(N(F54)&gt;0.005,N(F54)*$B$5/12,"")</f>
      </c>
      <c r="D55" s="2">
        <f>IF(N(F54)&gt;0.005,N(B55)-N(C55),"")</f>
      </c>
      <c r="E55" s="3">
        <v>0</v>
      </c>
      <c r="F55" s="2">
        <f>IF(N(F54)&gt;0.005,MAX(0,N(F54)-N(D55)-N(E55)),"")</f>
      </c>
    </row>
    <row r="56">
      <c r="A56" s="1">
        <f>IF(N(F55)&gt;0.005,46,"")</f>
      </c>
      <c r="B56" s="2">
        <f>IF(N(F55)&gt;0.005,MIN($B$7,N(F55)*(1+$B$5/12)),"")</f>
      </c>
      <c r="C56" s="2">
        <f>IF(N(F55)&gt;0.005,N(F55)*$B$5/12,"")</f>
      </c>
      <c r="D56" s="2">
        <f>IF(N(F55)&gt;0.005,N(B56)-N(C56),"")</f>
      </c>
      <c r="E56" s="3">
        <v>0</v>
      </c>
      <c r="F56" s="2">
        <f>IF(N(F55)&gt;0.005,MAX(0,N(F55)-N(D56)-N(E56)),"")</f>
      </c>
    </row>
    <row r="57">
      <c r="A57" s="1">
        <f>IF(N(F56)&gt;0.005,47,"")</f>
      </c>
      <c r="B57" s="2">
        <f>IF(N(F56)&gt;0.005,MIN($B$7,N(F56)*(1+$B$5/12)),"")</f>
      </c>
      <c r="C57" s="2">
        <f>IF(N(F56)&gt;0.005,N(F56)*$B$5/12,"")</f>
      </c>
      <c r="D57" s="2">
        <f>IF(N(F56)&gt;0.005,N(B57)-N(C57),"")</f>
      </c>
      <c r="E57" s="3">
        <v>0</v>
      </c>
      <c r="F57" s="2">
        <f>IF(N(F56)&gt;0.005,MAX(0,N(F56)-N(D57)-N(E57)),"")</f>
      </c>
    </row>
    <row r="58">
      <c r="A58" s="1">
        <f>IF(N(F57)&gt;0.005,48,"")</f>
      </c>
      <c r="B58" s="2">
        <f>IF(N(F57)&gt;0.005,MIN($B$7,N(F57)*(1+$B$5/12)),"")</f>
      </c>
      <c r="C58" s="2">
        <f>IF(N(F57)&gt;0.005,N(F57)*$B$5/12,"")</f>
      </c>
      <c r="D58" s="2">
        <f>IF(N(F57)&gt;0.005,N(B58)-N(C58),"")</f>
      </c>
      <c r="E58" s="3">
        <v>0</v>
      </c>
      <c r="F58" s="2">
        <f>IF(N(F57)&gt;0.005,MAX(0,N(F57)-N(D58)-N(E58)),"")</f>
      </c>
    </row>
    <row r="59">
      <c r="A59" s="1">
        <f>IF(N(F58)&gt;0.005,49,"")</f>
      </c>
      <c r="B59" s="2">
        <f>IF(N(F58)&gt;0.005,MIN($B$7,N(F58)*(1+$B$5/12)),"")</f>
      </c>
      <c r="C59" s="2">
        <f>IF(N(F58)&gt;0.005,N(F58)*$B$5/12,"")</f>
      </c>
      <c r="D59" s="2">
        <f>IF(N(F58)&gt;0.005,N(B59)-N(C59),"")</f>
      </c>
      <c r="E59" s="3">
        <v>0</v>
      </c>
      <c r="F59" s="2">
        <f>IF(N(F58)&gt;0.005,MAX(0,N(F58)-N(D59)-N(E59)),"")</f>
      </c>
    </row>
    <row r="60">
      <c r="A60" s="1">
        <f>IF(N(F59)&gt;0.005,50,"")</f>
      </c>
      <c r="B60" s="2">
        <f>IF(N(F59)&gt;0.005,MIN($B$7,N(F59)*(1+$B$5/12)),"")</f>
      </c>
      <c r="C60" s="2">
        <f>IF(N(F59)&gt;0.005,N(F59)*$B$5/12,"")</f>
      </c>
      <c r="D60" s="2">
        <f>IF(N(F59)&gt;0.005,N(B60)-N(C60),"")</f>
      </c>
      <c r="E60" s="3">
        <v>0</v>
      </c>
      <c r="F60" s="2">
        <f>IF(N(F59)&gt;0.005,MAX(0,N(F59)-N(D60)-N(E60)),"")</f>
      </c>
    </row>
    <row r="61">
      <c r="A61" s="1">
        <f>IF(N(F60)&gt;0.005,51,"")</f>
      </c>
      <c r="B61" s="2">
        <f>IF(N(F60)&gt;0.005,MIN($B$7,N(F60)*(1+$B$5/12)),"")</f>
      </c>
      <c r="C61" s="2">
        <f>IF(N(F60)&gt;0.005,N(F60)*$B$5/12,"")</f>
      </c>
      <c r="D61" s="2">
        <f>IF(N(F60)&gt;0.005,N(B61)-N(C61),"")</f>
      </c>
      <c r="E61" s="3">
        <v>0</v>
      </c>
      <c r="F61" s="2">
        <f>IF(N(F60)&gt;0.005,MAX(0,N(F60)-N(D61)-N(E61)),"")</f>
      </c>
    </row>
    <row r="62">
      <c r="A62" s="1">
        <f>IF(N(F61)&gt;0.005,52,"")</f>
      </c>
      <c r="B62" s="2">
        <f>IF(N(F61)&gt;0.005,MIN($B$7,N(F61)*(1+$B$5/12)),"")</f>
      </c>
      <c r="C62" s="2">
        <f>IF(N(F61)&gt;0.005,N(F61)*$B$5/12,"")</f>
      </c>
      <c r="D62" s="2">
        <f>IF(N(F61)&gt;0.005,N(B62)-N(C62),"")</f>
      </c>
      <c r="E62" s="3">
        <v>0</v>
      </c>
      <c r="F62" s="2">
        <f>IF(N(F61)&gt;0.005,MAX(0,N(F61)-N(D62)-N(E62)),"")</f>
      </c>
    </row>
    <row r="63">
      <c r="A63" s="1">
        <f>IF(N(F62)&gt;0.005,53,"")</f>
      </c>
      <c r="B63" s="2">
        <f>IF(N(F62)&gt;0.005,MIN($B$7,N(F62)*(1+$B$5/12)),"")</f>
      </c>
      <c r="C63" s="2">
        <f>IF(N(F62)&gt;0.005,N(F62)*$B$5/12,"")</f>
      </c>
      <c r="D63" s="2">
        <f>IF(N(F62)&gt;0.005,N(B63)-N(C63),"")</f>
      </c>
      <c r="E63" s="3">
        <v>0</v>
      </c>
      <c r="F63" s="2">
        <f>IF(N(F62)&gt;0.005,MAX(0,N(F62)-N(D63)-N(E63)),"")</f>
      </c>
    </row>
    <row r="64">
      <c r="A64" s="1">
        <f>IF(N(F63)&gt;0.005,54,"")</f>
      </c>
      <c r="B64" s="2">
        <f>IF(N(F63)&gt;0.005,MIN($B$7,N(F63)*(1+$B$5/12)),"")</f>
      </c>
      <c r="C64" s="2">
        <f>IF(N(F63)&gt;0.005,N(F63)*$B$5/12,"")</f>
      </c>
      <c r="D64" s="2">
        <f>IF(N(F63)&gt;0.005,N(B64)-N(C64),"")</f>
      </c>
      <c r="E64" s="3">
        <v>0</v>
      </c>
      <c r="F64" s="2">
        <f>IF(N(F63)&gt;0.005,MAX(0,N(F63)-N(D64)-N(E64)),"")</f>
      </c>
    </row>
    <row r="65">
      <c r="A65" s="1">
        <f>IF(N(F64)&gt;0.005,55,"")</f>
      </c>
      <c r="B65" s="2">
        <f>IF(N(F64)&gt;0.005,MIN($B$7,N(F64)*(1+$B$5/12)),"")</f>
      </c>
      <c r="C65" s="2">
        <f>IF(N(F64)&gt;0.005,N(F64)*$B$5/12,"")</f>
      </c>
      <c r="D65" s="2">
        <f>IF(N(F64)&gt;0.005,N(B65)-N(C65),"")</f>
      </c>
      <c r="E65" s="3">
        <v>0</v>
      </c>
      <c r="F65" s="2">
        <f>IF(N(F64)&gt;0.005,MAX(0,N(F64)-N(D65)-N(E65)),"")</f>
      </c>
    </row>
    <row r="66">
      <c r="A66" s="1">
        <f>IF(N(F65)&gt;0.005,56,"")</f>
      </c>
      <c r="B66" s="2">
        <f>IF(N(F65)&gt;0.005,MIN($B$7,N(F65)*(1+$B$5/12)),"")</f>
      </c>
      <c r="C66" s="2">
        <f>IF(N(F65)&gt;0.005,N(F65)*$B$5/12,"")</f>
      </c>
      <c r="D66" s="2">
        <f>IF(N(F65)&gt;0.005,N(B66)-N(C66),"")</f>
      </c>
      <c r="E66" s="3">
        <v>0</v>
      </c>
      <c r="F66" s="2">
        <f>IF(N(F65)&gt;0.005,MAX(0,N(F65)-N(D66)-N(E66)),"")</f>
      </c>
    </row>
    <row r="67">
      <c r="A67" s="1">
        <f>IF(N(F66)&gt;0.005,57,"")</f>
      </c>
      <c r="B67" s="2">
        <f>IF(N(F66)&gt;0.005,MIN($B$7,N(F66)*(1+$B$5/12)),"")</f>
      </c>
      <c r="C67" s="2">
        <f>IF(N(F66)&gt;0.005,N(F66)*$B$5/12,"")</f>
      </c>
      <c r="D67" s="2">
        <f>IF(N(F66)&gt;0.005,N(B67)-N(C67),"")</f>
      </c>
      <c r="E67" s="3">
        <v>0</v>
      </c>
      <c r="F67" s="2">
        <f>IF(N(F66)&gt;0.005,MAX(0,N(F66)-N(D67)-N(E67)),"")</f>
      </c>
    </row>
    <row r="68">
      <c r="A68" s="1">
        <f>IF(N(F67)&gt;0.005,58,"")</f>
      </c>
      <c r="B68" s="2">
        <f>IF(N(F67)&gt;0.005,MIN($B$7,N(F67)*(1+$B$5/12)),"")</f>
      </c>
      <c r="C68" s="2">
        <f>IF(N(F67)&gt;0.005,N(F67)*$B$5/12,"")</f>
      </c>
      <c r="D68" s="2">
        <f>IF(N(F67)&gt;0.005,N(B68)-N(C68),"")</f>
      </c>
      <c r="E68" s="3">
        <v>0</v>
      </c>
      <c r="F68" s="2">
        <f>IF(N(F67)&gt;0.005,MAX(0,N(F67)-N(D68)-N(E68)),"")</f>
      </c>
    </row>
    <row r="69">
      <c r="A69" s="1">
        <f>IF(N(F68)&gt;0.005,59,"")</f>
      </c>
      <c r="B69" s="2">
        <f>IF(N(F68)&gt;0.005,MIN($B$7,N(F68)*(1+$B$5/12)),"")</f>
      </c>
      <c r="C69" s="2">
        <f>IF(N(F68)&gt;0.005,N(F68)*$B$5/12,"")</f>
      </c>
      <c r="D69" s="2">
        <f>IF(N(F68)&gt;0.005,N(B69)-N(C69),"")</f>
      </c>
      <c r="E69" s="3">
        <v>0</v>
      </c>
      <c r="F69" s="2">
        <f>IF(N(F68)&gt;0.005,MAX(0,N(F68)-N(D69)-N(E69)),"")</f>
      </c>
    </row>
    <row r="70">
      <c r="A70" s="1">
        <f>IF(N(F69)&gt;0.005,60,"")</f>
      </c>
      <c r="B70" s="2">
        <f>IF(N(F69)&gt;0.005,MIN($B$7,N(F69)*(1+$B$5/12)),"")</f>
      </c>
      <c r="C70" s="2">
        <f>IF(N(F69)&gt;0.005,N(F69)*$B$5/12,"")</f>
      </c>
      <c r="D70" s="2">
        <f>IF(N(F69)&gt;0.005,N(B70)-N(C70),"")</f>
      </c>
      <c r="E70" s="3">
        <v>0</v>
      </c>
      <c r="F70" s="2">
        <f>IF(N(F69)&gt;0.005,MAX(0,N(F69)-N(D70)-N(E70)),"")</f>
      </c>
    </row>
    <row r="71">
      <c r="A71" s="1">
        <f>IF(N(F70)&gt;0.005,61,"")</f>
      </c>
      <c r="B71" s="2">
        <f>IF(N(F70)&gt;0.005,MIN($B$7,N(F70)*(1+$B$5/12)),"")</f>
      </c>
      <c r="C71" s="2">
        <f>IF(N(F70)&gt;0.005,N(F70)*$B$5/12,"")</f>
      </c>
      <c r="D71" s="2">
        <f>IF(N(F70)&gt;0.005,N(B71)-N(C71),"")</f>
      </c>
      <c r="E71" s="3">
        <v>0</v>
      </c>
      <c r="F71" s="2">
        <f>IF(N(F70)&gt;0.005,MAX(0,N(F70)-N(D71)-N(E71)),"")</f>
      </c>
    </row>
    <row r="72">
      <c r="A72" s="1">
        <f>IF(N(F71)&gt;0.005,62,"")</f>
      </c>
      <c r="B72" s="2">
        <f>IF(N(F71)&gt;0.005,MIN($B$7,N(F71)*(1+$B$5/12)),"")</f>
      </c>
      <c r="C72" s="2">
        <f>IF(N(F71)&gt;0.005,N(F71)*$B$5/12,"")</f>
      </c>
      <c r="D72" s="2">
        <f>IF(N(F71)&gt;0.005,N(B72)-N(C72),"")</f>
      </c>
      <c r="E72" s="3">
        <v>0</v>
      </c>
      <c r="F72" s="2">
        <f>IF(N(F71)&gt;0.005,MAX(0,N(F71)-N(D72)-N(E72)),"")</f>
      </c>
    </row>
    <row r="73">
      <c r="A73" s="1">
        <f>IF(N(F72)&gt;0.005,63,"")</f>
      </c>
      <c r="B73" s="2">
        <f>IF(N(F72)&gt;0.005,MIN($B$7,N(F72)*(1+$B$5/12)),"")</f>
      </c>
      <c r="C73" s="2">
        <f>IF(N(F72)&gt;0.005,N(F72)*$B$5/12,"")</f>
      </c>
      <c r="D73" s="2">
        <f>IF(N(F72)&gt;0.005,N(B73)-N(C73),"")</f>
      </c>
      <c r="E73" s="3">
        <v>0</v>
      </c>
      <c r="F73" s="2">
        <f>IF(N(F72)&gt;0.005,MAX(0,N(F72)-N(D73)-N(E73)),"")</f>
      </c>
    </row>
    <row r="74">
      <c r="A74" s="1">
        <f>IF(N(F73)&gt;0.005,64,"")</f>
      </c>
      <c r="B74" s="2">
        <f>IF(N(F73)&gt;0.005,MIN($B$7,N(F73)*(1+$B$5/12)),"")</f>
      </c>
      <c r="C74" s="2">
        <f>IF(N(F73)&gt;0.005,N(F73)*$B$5/12,"")</f>
      </c>
      <c r="D74" s="2">
        <f>IF(N(F73)&gt;0.005,N(B74)-N(C74),"")</f>
      </c>
      <c r="E74" s="3">
        <v>0</v>
      </c>
      <c r="F74" s="2">
        <f>IF(N(F73)&gt;0.005,MAX(0,N(F73)-N(D74)-N(E74)),"")</f>
      </c>
    </row>
    <row r="75">
      <c r="A75" s="1">
        <f>IF(N(F74)&gt;0.005,65,"")</f>
      </c>
      <c r="B75" s="2">
        <f>IF(N(F74)&gt;0.005,MIN($B$7,N(F74)*(1+$B$5/12)),"")</f>
      </c>
      <c r="C75" s="2">
        <f>IF(N(F74)&gt;0.005,N(F74)*$B$5/12,"")</f>
      </c>
      <c r="D75" s="2">
        <f>IF(N(F74)&gt;0.005,N(B75)-N(C75),"")</f>
      </c>
      <c r="E75" s="3">
        <v>0</v>
      </c>
      <c r="F75" s="2">
        <f>IF(N(F74)&gt;0.005,MAX(0,N(F74)-N(D75)-N(E75)),"")</f>
      </c>
    </row>
    <row r="76">
      <c r="A76" s="1">
        <f>IF(N(F75)&gt;0.005,66,"")</f>
      </c>
      <c r="B76" s="2">
        <f>IF(N(F75)&gt;0.005,MIN($B$7,N(F75)*(1+$B$5/12)),"")</f>
      </c>
      <c r="C76" s="2">
        <f>IF(N(F75)&gt;0.005,N(F75)*$B$5/12,"")</f>
      </c>
      <c r="D76" s="2">
        <f>IF(N(F75)&gt;0.005,N(B76)-N(C76),"")</f>
      </c>
      <c r="E76" s="3">
        <v>0</v>
      </c>
      <c r="F76" s="2">
        <f>IF(N(F75)&gt;0.005,MAX(0,N(F75)-N(D76)-N(E76)),"")</f>
      </c>
    </row>
    <row r="77">
      <c r="A77" s="1">
        <f>IF(N(F76)&gt;0.005,67,"")</f>
      </c>
      <c r="B77" s="2">
        <f>IF(N(F76)&gt;0.005,MIN($B$7,N(F76)*(1+$B$5/12)),"")</f>
      </c>
      <c r="C77" s="2">
        <f>IF(N(F76)&gt;0.005,N(F76)*$B$5/12,"")</f>
      </c>
      <c r="D77" s="2">
        <f>IF(N(F76)&gt;0.005,N(B77)-N(C77),"")</f>
      </c>
      <c r="E77" s="3">
        <v>0</v>
      </c>
      <c r="F77" s="2">
        <f>IF(N(F76)&gt;0.005,MAX(0,N(F76)-N(D77)-N(E77)),"")</f>
      </c>
    </row>
    <row r="78">
      <c r="A78" s="1">
        <f>IF(N(F77)&gt;0.005,68,"")</f>
      </c>
      <c r="B78" s="2">
        <f>IF(N(F77)&gt;0.005,MIN($B$7,N(F77)*(1+$B$5/12)),"")</f>
      </c>
      <c r="C78" s="2">
        <f>IF(N(F77)&gt;0.005,N(F77)*$B$5/12,"")</f>
      </c>
      <c r="D78" s="2">
        <f>IF(N(F77)&gt;0.005,N(B78)-N(C78),"")</f>
      </c>
      <c r="E78" s="3">
        <v>0</v>
      </c>
      <c r="F78" s="2">
        <f>IF(N(F77)&gt;0.005,MAX(0,N(F77)-N(D78)-N(E78)),"")</f>
      </c>
    </row>
    <row r="79">
      <c r="A79" s="1">
        <f>IF(N(F78)&gt;0.005,69,"")</f>
      </c>
      <c r="B79" s="2">
        <f>IF(N(F78)&gt;0.005,MIN($B$7,N(F78)*(1+$B$5/12)),"")</f>
      </c>
      <c r="C79" s="2">
        <f>IF(N(F78)&gt;0.005,N(F78)*$B$5/12,"")</f>
      </c>
      <c r="D79" s="2">
        <f>IF(N(F78)&gt;0.005,N(B79)-N(C79),"")</f>
      </c>
      <c r="E79" s="3">
        <v>0</v>
      </c>
      <c r="F79" s="2">
        <f>IF(N(F78)&gt;0.005,MAX(0,N(F78)-N(D79)-N(E79)),"")</f>
      </c>
    </row>
    <row r="80">
      <c r="A80" s="1">
        <f>IF(N(F79)&gt;0.005,70,"")</f>
      </c>
      <c r="B80" s="2">
        <f>IF(N(F79)&gt;0.005,MIN($B$7,N(F79)*(1+$B$5/12)),"")</f>
      </c>
      <c r="C80" s="2">
        <f>IF(N(F79)&gt;0.005,N(F79)*$B$5/12,"")</f>
      </c>
      <c r="D80" s="2">
        <f>IF(N(F79)&gt;0.005,N(B80)-N(C80),"")</f>
      </c>
      <c r="E80" s="3">
        <v>0</v>
      </c>
      <c r="F80" s="2">
        <f>IF(N(F79)&gt;0.005,MAX(0,N(F79)-N(D80)-N(E80)),"")</f>
      </c>
    </row>
    <row r="81">
      <c r="A81" s="1">
        <f>IF(N(F80)&gt;0.005,71,"")</f>
      </c>
      <c r="B81" s="2">
        <f>IF(N(F80)&gt;0.005,MIN($B$7,N(F80)*(1+$B$5/12)),"")</f>
      </c>
      <c r="C81" s="2">
        <f>IF(N(F80)&gt;0.005,N(F80)*$B$5/12,"")</f>
      </c>
      <c r="D81" s="2">
        <f>IF(N(F80)&gt;0.005,N(B81)-N(C81),"")</f>
      </c>
      <c r="E81" s="3">
        <v>0</v>
      </c>
      <c r="F81" s="2">
        <f>IF(N(F80)&gt;0.005,MAX(0,N(F80)-N(D81)-N(E81)),"")</f>
      </c>
    </row>
    <row r="82">
      <c r="A82" s="1">
        <f>IF(N(F81)&gt;0.005,72,"")</f>
      </c>
      <c r="B82" s="2">
        <f>IF(N(F81)&gt;0.005,MIN($B$7,N(F81)*(1+$B$5/12)),"")</f>
      </c>
      <c r="C82" s="2">
        <f>IF(N(F81)&gt;0.005,N(F81)*$B$5/12,"")</f>
      </c>
      <c r="D82" s="2">
        <f>IF(N(F81)&gt;0.005,N(B82)-N(C82),"")</f>
      </c>
      <c r="E82" s="3">
        <v>0</v>
      </c>
      <c r="F82" s="2">
        <f>IF(N(F81)&gt;0.005,MAX(0,N(F81)-N(D82)-N(E82)),"")</f>
      </c>
    </row>
    <row r="83">
      <c r="A83" s="1">
        <f>IF(N(F82)&gt;0.005,73,"")</f>
      </c>
      <c r="B83" s="2">
        <f>IF(N(F82)&gt;0.005,MIN($B$7,N(F82)*(1+$B$5/12)),"")</f>
      </c>
      <c r="C83" s="2">
        <f>IF(N(F82)&gt;0.005,N(F82)*$B$5/12,"")</f>
      </c>
      <c r="D83" s="2">
        <f>IF(N(F82)&gt;0.005,N(B83)-N(C83),"")</f>
      </c>
      <c r="E83" s="3">
        <v>0</v>
      </c>
      <c r="F83" s="2">
        <f>IF(N(F82)&gt;0.005,MAX(0,N(F82)-N(D83)-N(E83)),"")</f>
      </c>
    </row>
    <row r="84">
      <c r="A84" s="1">
        <f>IF(N(F83)&gt;0.005,74,"")</f>
      </c>
      <c r="B84" s="2">
        <f>IF(N(F83)&gt;0.005,MIN($B$7,N(F83)*(1+$B$5/12)),"")</f>
      </c>
      <c r="C84" s="2">
        <f>IF(N(F83)&gt;0.005,N(F83)*$B$5/12,"")</f>
      </c>
      <c r="D84" s="2">
        <f>IF(N(F83)&gt;0.005,N(B84)-N(C84),"")</f>
      </c>
      <c r="E84" s="3">
        <v>0</v>
      </c>
      <c r="F84" s="2">
        <f>IF(N(F83)&gt;0.005,MAX(0,N(F83)-N(D84)-N(E84)),"")</f>
      </c>
    </row>
    <row r="85">
      <c r="A85" s="1">
        <f>IF(N(F84)&gt;0.005,75,"")</f>
      </c>
      <c r="B85" s="2">
        <f>IF(N(F84)&gt;0.005,MIN($B$7,N(F84)*(1+$B$5/12)),"")</f>
      </c>
      <c r="C85" s="2">
        <f>IF(N(F84)&gt;0.005,N(F84)*$B$5/12,"")</f>
      </c>
      <c r="D85" s="2">
        <f>IF(N(F84)&gt;0.005,N(B85)-N(C85),"")</f>
      </c>
      <c r="E85" s="3">
        <v>0</v>
      </c>
      <c r="F85" s="2">
        <f>IF(N(F84)&gt;0.005,MAX(0,N(F84)-N(D85)-N(E85)),"")</f>
      </c>
    </row>
    <row r="86">
      <c r="A86" s="1">
        <f>IF(N(F85)&gt;0.005,76,"")</f>
      </c>
      <c r="B86" s="2">
        <f>IF(N(F85)&gt;0.005,MIN($B$7,N(F85)*(1+$B$5/12)),"")</f>
      </c>
      <c r="C86" s="2">
        <f>IF(N(F85)&gt;0.005,N(F85)*$B$5/12,"")</f>
      </c>
      <c r="D86" s="2">
        <f>IF(N(F85)&gt;0.005,N(B86)-N(C86),"")</f>
      </c>
      <c r="E86" s="3">
        <v>0</v>
      </c>
      <c r="F86" s="2">
        <f>IF(N(F85)&gt;0.005,MAX(0,N(F85)-N(D86)-N(E86)),"")</f>
      </c>
    </row>
    <row r="87">
      <c r="A87" s="1">
        <f>IF(N(F86)&gt;0.005,77,"")</f>
      </c>
      <c r="B87" s="2">
        <f>IF(N(F86)&gt;0.005,MIN($B$7,N(F86)*(1+$B$5/12)),"")</f>
      </c>
      <c r="C87" s="2">
        <f>IF(N(F86)&gt;0.005,N(F86)*$B$5/12,"")</f>
      </c>
      <c r="D87" s="2">
        <f>IF(N(F86)&gt;0.005,N(B87)-N(C87),"")</f>
      </c>
      <c r="E87" s="3">
        <v>0</v>
      </c>
      <c r="F87" s="2">
        <f>IF(N(F86)&gt;0.005,MAX(0,N(F86)-N(D87)-N(E87)),"")</f>
      </c>
    </row>
    <row r="88">
      <c r="A88" s="1">
        <f>IF(N(F87)&gt;0.005,78,"")</f>
      </c>
      <c r="B88" s="2">
        <f>IF(N(F87)&gt;0.005,MIN($B$7,N(F87)*(1+$B$5/12)),"")</f>
      </c>
      <c r="C88" s="2">
        <f>IF(N(F87)&gt;0.005,N(F87)*$B$5/12,"")</f>
      </c>
      <c r="D88" s="2">
        <f>IF(N(F87)&gt;0.005,N(B88)-N(C88),"")</f>
      </c>
      <c r="E88" s="3">
        <v>0</v>
      </c>
      <c r="F88" s="2">
        <f>IF(N(F87)&gt;0.005,MAX(0,N(F87)-N(D88)-N(E88)),"")</f>
      </c>
    </row>
    <row r="89">
      <c r="A89" s="1">
        <f>IF(N(F88)&gt;0.005,79,"")</f>
      </c>
      <c r="B89" s="2">
        <f>IF(N(F88)&gt;0.005,MIN($B$7,N(F88)*(1+$B$5/12)),"")</f>
      </c>
      <c r="C89" s="2">
        <f>IF(N(F88)&gt;0.005,N(F88)*$B$5/12,"")</f>
      </c>
      <c r="D89" s="2">
        <f>IF(N(F88)&gt;0.005,N(B89)-N(C89),"")</f>
      </c>
      <c r="E89" s="3">
        <v>0</v>
      </c>
      <c r="F89" s="2">
        <f>IF(N(F88)&gt;0.005,MAX(0,N(F88)-N(D89)-N(E89)),"")</f>
      </c>
    </row>
    <row r="90">
      <c r="A90" s="1">
        <f>IF(N(F89)&gt;0.005,80,"")</f>
      </c>
      <c r="B90" s="2">
        <f>IF(N(F89)&gt;0.005,MIN($B$7,N(F89)*(1+$B$5/12)),"")</f>
      </c>
      <c r="C90" s="2">
        <f>IF(N(F89)&gt;0.005,N(F89)*$B$5/12,"")</f>
      </c>
      <c r="D90" s="2">
        <f>IF(N(F89)&gt;0.005,N(B90)-N(C90),"")</f>
      </c>
      <c r="E90" s="3">
        <v>0</v>
      </c>
      <c r="F90" s="2">
        <f>IF(N(F89)&gt;0.005,MAX(0,N(F89)-N(D90)-N(E90)),"")</f>
      </c>
    </row>
    <row r="91">
      <c r="A91" s="1">
        <f>IF(N(F90)&gt;0.005,81,"")</f>
      </c>
      <c r="B91" s="2">
        <f>IF(N(F90)&gt;0.005,MIN($B$7,N(F90)*(1+$B$5/12)),"")</f>
      </c>
      <c r="C91" s="2">
        <f>IF(N(F90)&gt;0.005,N(F90)*$B$5/12,"")</f>
      </c>
      <c r="D91" s="2">
        <f>IF(N(F90)&gt;0.005,N(B91)-N(C91),"")</f>
      </c>
      <c r="E91" s="3">
        <v>0</v>
      </c>
      <c r="F91" s="2">
        <f>IF(N(F90)&gt;0.005,MAX(0,N(F90)-N(D91)-N(E91)),"")</f>
      </c>
    </row>
    <row r="92">
      <c r="A92" s="1">
        <f>IF(N(F91)&gt;0.005,82,"")</f>
      </c>
      <c r="B92" s="2">
        <f>IF(N(F91)&gt;0.005,MIN($B$7,N(F91)*(1+$B$5/12)),"")</f>
      </c>
      <c r="C92" s="2">
        <f>IF(N(F91)&gt;0.005,N(F91)*$B$5/12,"")</f>
      </c>
      <c r="D92" s="2">
        <f>IF(N(F91)&gt;0.005,N(B92)-N(C92),"")</f>
      </c>
      <c r="E92" s="3">
        <v>0</v>
      </c>
      <c r="F92" s="2">
        <f>IF(N(F91)&gt;0.005,MAX(0,N(F91)-N(D92)-N(E92)),"")</f>
      </c>
    </row>
    <row r="93">
      <c r="A93" s="1">
        <f>IF(N(F92)&gt;0.005,83,"")</f>
      </c>
      <c r="B93" s="2">
        <f>IF(N(F92)&gt;0.005,MIN($B$7,N(F92)*(1+$B$5/12)),"")</f>
      </c>
      <c r="C93" s="2">
        <f>IF(N(F92)&gt;0.005,N(F92)*$B$5/12,"")</f>
      </c>
      <c r="D93" s="2">
        <f>IF(N(F92)&gt;0.005,N(B93)-N(C93),"")</f>
      </c>
      <c r="E93" s="3">
        <v>0</v>
      </c>
      <c r="F93" s="2">
        <f>IF(N(F92)&gt;0.005,MAX(0,N(F92)-N(D93)-N(E93)),"")</f>
      </c>
    </row>
    <row r="94">
      <c r="A94" s="1">
        <f>IF(N(F93)&gt;0.005,84,"")</f>
      </c>
      <c r="B94" s="2">
        <f>IF(N(F93)&gt;0.005,MIN($B$7,N(F93)*(1+$B$5/12)),"")</f>
      </c>
      <c r="C94" s="2">
        <f>IF(N(F93)&gt;0.005,N(F93)*$B$5/12,"")</f>
      </c>
      <c r="D94" s="2">
        <f>IF(N(F93)&gt;0.005,N(B94)-N(C94),"")</f>
      </c>
      <c r="E94" s="3">
        <v>0</v>
      </c>
      <c r="F94" s="2">
        <f>IF(N(F93)&gt;0.005,MAX(0,N(F93)-N(D94)-N(E94)),"")</f>
      </c>
    </row>
    <row r="95">
      <c r="A95" s="1">
        <f>IF(N(F94)&gt;0.005,85,"")</f>
      </c>
      <c r="B95" s="2">
        <f>IF(N(F94)&gt;0.005,MIN($B$7,N(F94)*(1+$B$5/12)),"")</f>
      </c>
      <c r="C95" s="2">
        <f>IF(N(F94)&gt;0.005,N(F94)*$B$5/12,"")</f>
      </c>
      <c r="D95" s="2">
        <f>IF(N(F94)&gt;0.005,N(B95)-N(C95),"")</f>
      </c>
      <c r="E95" s="3">
        <v>0</v>
      </c>
      <c r="F95" s="2">
        <f>IF(N(F94)&gt;0.005,MAX(0,N(F94)-N(D95)-N(E95)),"")</f>
      </c>
    </row>
    <row r="96">
      <c r="A96" s="1">
        <f>IF(N(F95)&gt;0.005,86,"")</f>
      </c>
      <c r="B96" s="2">
        <f>IF(N(F95)&gt;0.005,MIN($B$7,N(F95)*(1+$B$5/12)),"")</f>
      </c>
      <c r="C96" s="2">
        <f>IF(N(F95)&gt;0.005,N(F95)*$B$5/12,"")</f>
      </c>
      <c r="D96" s="2">
        <f>IF(N(F95)&gt;0.005,N(B96)-N(C96),"")</f>
      </c>
      <c r="E96" s="3">
        <v>0</v>
      </c>
      <c r="F96" s="2">
        <f>IF(N(F95)&gt;0.005,MAX(0,N(F95)-N(D96)-N(E96)),"")</f>
      </c>
    </row>
    <row r="97">
      <c r="A97" s="1">
        <f>IF(N(F96)&gt;0.005,87,"")</f>
      </c>
      <c r="B97" s="2">
        <f>IF(N(F96)&gt;0.005,MIN($B$7,N(F96)*(1+$B$5/12)),"")</f>
      </c>
      <c r="C97" s="2">
        <f>IF(N(F96)&gt;0.005,N(F96)*$B$5/12,"")</f>
      </c>
      <c r="D97" s="2">
        <f>IF(N(F96)&gt;0.005,N(B97)-N(C97),"")</f>
      </c>
      <c r="E97" s="3">
        <v>0</v>
      </c>
      <c r="F97" s="2">
        <f>IF(N(F96)&gt;0.005,MAX(0,N(F96)-N(D97)-N(E97)),"")</f>
      </c>
    </row>
    <row r="98">
      <c r="A98" s="1">
        <f>IF(N(F97)&gt;0.005,88,"")</f>
      </c>
      <c r="B98" s="2">
        <f>IF(N(F97)&gt;0.005,MIN($B$7,N(F97)*(1+$B$5/12)),"")</f>
      </c>
      <c r="C98" s="2">
        <f>IF(N(F97)&gt;0.005,N(F97)*$B$5/12,"")</f>
      </c>
      <c r="D98" s="2">
        <f>IF(N(F97)&gt;0.005,N(B98)-N(C98),"")</f>
      </c>
      <c r="E98" s="3">
        <v>0</v>
      </c>
      <c r="F98" s="2">
        <f>IF(N(F97)&gt;0.005,MAX(0,N(F97)-N(D98)-N(E98)),"")</f>
      </c>
    </row>
    <row r="99">
      <c r="A99" s="1">
        <f>IF(N(F98)&gt;0.005,89,"")</f>
      </c>
      <c r="B99" s="2">
        <f>IF(N(F98)&gt;0.005,MIN($B$7,N(F98)*(1+$B$5/12)),"")</f>
      </c>
      <c r="C99" s="2">
        <f>IF(N(F98)&gt;0.005,N(F98)*$B$5/12,"")</f>
      </c>
      <c r="D99" s="2">
        <f>IF(N(F98)&gt;0.005,N(B99)-N(C99),"")</f>
      </c>
      <c r="E99" s="3">
        <v>0</v>
      </c>
      <c r="F99" s="2">
        <f>IF(N(F98)&gt;0.005,MAX(0,N(F98)-N(D99)-N(E99)),"")</f>
      </c>
    </row>
    <row r="100">
      <c r="A100" s="1">
        <f>IF(N(F99)&gt;0.005,90,"")</f>
      </c>
      <c r="B100" s="2">
        <f>IF(N(F99)&gt;0.005,MIN($B$7,N(F99)*(1+$B$5/12)),"")</f>
      </c>
      <c r="C100" s="2">
        <f>IF(N(F99)&gt;0.005,N(F99)*$B$5/12,"")</f>
      </c>
      <c r="D100" s="2">
        <f>IF(N(F99)&gt;0.005,N(B100)-N(C100),"")</f>
      </c>
      <c r="E100" s="3">
        <v>0</v>
      </c>
      <c r="F100" s="2">
        <f>IF(N(F99)&gt;0.005,MAX(0,N(F99)-N(D100)-N(E100)),"")</f>
      </c>
    </row>
    <row r="101">
      <c r="A101" s="1">
        <f>IF(N(F100)&gt;0.005,91,"")</f>
      </c>
      <c r="B101" s="2">
        <f>IF(N(F100)&gt;0.005,MIN($B$7,N(F100)*(1+$B$5/12)),"")</f>
      </c>
      <c r="C101" s="2">
        <f>IF(N(F100)&gt;0.005,N(F100)*$B$5/12,"")</f>
      </c>
      <c r="D101" s="2">
        <f>IF(N(F100)&gt;0.005,N(B101)-N(C101),"")</f>
      </c>
      <c r="E101" s="3">
        <v>0</v>
      </c>
      <c r="F101" s="2">
        <f>IF(N(F100)&gt;0.005,MAX(0,N(F100)-N(D101)-N(E101)),"")</f>
      </c>
    </row>
    <row r="102">
      <c r="A102" s="1">
        <f>IF(N(F101)&gt;0.005,92,"")</f>
      </c>
      <c r="B102" s="2">
        <f>IF(N(F101)&gt;0.005,MIN($B$7,N(F101)*(1+$B$5/12)),"")</f>
      </c>
      <c r="C102" s="2">
        <f>IF(N(F101)&gt;0.005,N(F101)*$B$5/12,"")</f>
      </c>
      <c r="D102" s="2">
        <f>IF(N(F101)&gt;0.005,N(B102)-N(C102),"")</f>
      </c>
      <c r="E102" s="3">
        <v>0</v>
      </c>
      <c r="F102" s="2">
        <f>IF(N(F101)&gt;0.005,MAX(0,N(F101)-N(D102)-N(E102)),"")</f>
      </c>
    </row>
    <row r="103">
      <c r="A103" s="1">
        <f>IF(N(F102)&gt;0.005,93,"")</f>
      </c>
      <c r="B103" s="2">
        <f>IF(N(F102)&gt;0.005,MIN($B$7,N(F102)*(1+$B$5/12)),"")</f>
      </c>
      <c r="C103" s="2">
        <f>IF(N(F102)&gt;0.005,N(F102)*$B$5/12,"")</f>
      </c>
      <c r="D103" s="2">
        <f>IF(N(F102)&gt;0.005,N(B103)-N(C103),"")</f>
      </c>
      <c r="E103" s="3">
        <v>0</v>
      </c>
      <c r="F103" s="2">
        <f>IF(N(F102)&gt;0.005,MAX(0,N(F102)-N(D103)-N(E103)),"")</f>
      </c>
    </row>
    <row r="104">
      <c r="A104" s="1">
        <f>IF(N(F103)&gt;0.005,94,"")</f>
      </c>
      <c r="B104" s="2">
        <f>IF(N(F103)&gt;0.005,MIN($B$7,N(F103)*(1+$B$5/12)),"")</f>
      </c>
      <c r="C104" s="2">
        <f>IF(N(F103)&gt;0.005,N(F103)*$B$5/12,"")</f>
      </c>
      <c r="D104" s="2">
        <f>IF(N(F103)&gt;0.005,N(B104)-N(C104),"")</f>
      </c>
      <c r="E104" s="3">
        <v>0</v>
      </c>
      <c r="F104" s="2">
        <f>IF(N(F103)&gt;0.005,MAX(0,N(F103)-N(D104)-N(E104)),"")</f>
      </c>
    </row>
    <row r="105">
      <c r="A105" s="1">
        <f>IF(N(F104)&gt;0.005,95,"")</f>
      </c>
      <c r="B105" s="2">
        <f>IF(N(F104)&gt;0.005,MIN($B$7,N(F104)*(1+$B$5/12)),"")</f>
      </c>
      <c r="C105" s="2">
        <f>IF(N(F104)&gt;0.005,N(F104)*$B$5/12,"")</f>
      </c>
      <c r="D105" s="2">
        <f>IF(N(F104)&gt;0.005,N(B105)-N(C105),"")</f>
      </c>
      <c r="E105" s="3">
        <v>0</v>
      </c>
      <c r="F105" s="2">
        <f>IF(N(F104)&gt;0.005,MAX(0,N(F104)-N(D105)-N(E105)),"")</f>
      </c>
    </row>
    <row r="106">
      <c r="A106" s="1">
        <f>IF(N(F105)&gt;0.005,96,"")</f>
      </c>
      <c r="B106" s="2">
        <f>IF(N(F105)&gt;0.005,MIN($B$7,N(F105)*(1+$B$5/12)),"")</f>
      </c>
      <c r="C106" s="2">
        <f>IF(N(F105)&gt;0.005,N(F105)*$B$5/12,"")</f>
      </c>
      <c r="D106" s="2">
        <f>IF(N(F105)&gt;0.005,N(B106)-N(C106),"")</f>
      </c>
      <c r="E106" s="3">
        <v>0</v>
      </c>
      <c r="F106" s="2">
        <f>IF(N(F105)&gt;0.005,MAX(0,N(F105)-N(D106)-N(E106)),"")</f>
      </c>
    </row>
    <row r="107">
      <c r="A107" s="1">
        <f>IF(N(F106)&gt;0.005,97,"")</f>
      </c>
      <c r="B107" s="2">
        <f>IF(N(F106)&gt;0.005,MIN($B$7,N(F106)*(1+$B$5/12)),"")</f>
      </c>
      <c r="C107" s="2">
        <f>IF(N(F106)&gt;0.005,N(F106)*$B$5/12,"")</f>
      </c>
      <c r="D107" s="2">
        <f>IF(N(F106)&gt;0.005,N(B107)-N(C107),"")</f>
      </c>
      <c r="E107" s="3">
        <v>0</v>
      </c>
      <c r="F107" s="2">
        <f>IF(N(F106)&gt;0.005,MAX(0,N(F106)-N(D107)-N(E107)),"")</f>
      </c>
    </row>
    <row r="108">
      <c r="A108" s="1">
        <f>IF(N(F107)&gt;0.005,98,"")</f>
      </c>
      <c r="B108" s="2">
        <f>IF(N(F107)&gt;0.005,MIN($B$7,N(F107)*(1+$B$5/12)),"")</f>
      </c>
      <c r="C108" s="2">
        <f>IF(N(F107)&gt;0.005,N(F107)*$B$5/12,"")</f>
      </c>
      <c r="D108" s="2">
        <f>IF(N(F107)&gt;0.005,N(B108)-N(C108),"")</f>
      </c>
      <c r="E108" s="3">
        <v>0</v>
      </c>
      <c r="F108" s="2">
        <f>IF(N(F107)&gt;0.005,MAX(0,N(F107)-N(D108)-N(E108)),"")</f>
      </c>
    </row>
    <row r="109">
      <c r="A109" s="1">
        <f>IF(N(F108)&gt;0.005,99,"")</f>
      </c>
      <c r="B109" s="2">
        <f>IF(N(F108)&gt;0.005,MIN($B$7,N(F108)*(1+$B$5/12)),"")</f>
      </c>
      <c r="C109" s="2">
        <f>IF(N(F108)&gt;0.005,N(F108)*$B$5/12,"")</f>
      </c>
      <c r="D109" s="2">
        <f>IF(N(F108)&gt;0.005,N(B109)-N(C109),"")</f>
      </c>
      <c r="E109" s="3">
        <v>0</v>
      </c>
      <c r="F109" s="2">
        <f>IF(N(F108)&gt;0.005,MAX(0,N(F108)-N(D109)-N(E109)),"")</f>
      </c>
    </row>
    <row r="110">
      <c r="A110" s="1">
        <f>IF(N(F109)&gt;0.005,100,"")</f>
      </c>
      <c r="B110" s="2">
        <f>IF(N(F109)&gt;0.005,MIN($B$7,N(F109)*(1+$B$5/12)),"")</f>
      </c>
      <c r="C110" s="2">
        <f>IF(N(F109)&gt;0.005,N(F109)*$B$5/12,"")</f>
      </c>
      <c r="D110" s="2">
        <f>IF(N(F109)&gt;0.005,N(B110)-N(C110),"")</f>
      </c>
      <c r="E110" s="3">
        <v>0</v>
      </c>
      <c r="F110" s="2">
        <f>IF(N(F109)&gt;0.005,MAX(0,N(F109)-N(D110)-N(E110)),"")</f>
      </c>
    </row>
    <row r="111">
      <c r="A111" s="1">
        <f>IF(N(F110)&gt;0.005,101,"")</f>
      </c>
      <c r="B111" s="2">
        <f>IF(N(F110)&gt;0.005,MIN($B$7,N(F110)*(1+$B$5/12)),"")</f>
      </c>
      <c r="C111" s="2">
        <f>IF(N(F110)&gt;0.005,N(F110)*$B$5/12,"")</f>
      </c>
      <c r="D111" s="2">
        <f>IF(N(F110)&gt;0.005,N(B111)-N(C111),"")</f>
      </c>
      <c r="E111" s="3">
        <v>0</v>
      </c>
      <c r="F111" s="2">
        <f>IF(N(F110)&gt;0.005,MAX(0,N(F110)-N(D111)-N(E111)),"")</f>
      </c>
    </row>
    <row r="112">
      <c r="A112" s="1">
        <f>IF(N(F111)&gt;0.005,102,"")</f>
      </c>
      <c r="B112" s="2">
        <f>IF(N(F111)&gt;0.005,MIN($B$7,N(F111)*(1+$B$5/12)),"")</f>
      </c>
      <c r="C112" s="2">
        <f>IF(N(F111)&gt;0.005,N(F111)*$B$5/12,"")</f>
      </c>
      <c r="D112" s="2">
        <f>IF(N(F111)&gt;0.005,N(B112)-N(C112),"")</f>
      </c>
      <c r="E112" s="3">
        <v>0</v>
      </c>
      <c r="F112" s="2">
        <f>IF(N(F111)&gt;0.005,MAX(0,N(F111)-N(D112)-N(E112)),"")</f>
      </c>
    </row>
    <row r="113">
      <c r="A113" s="1">
        <f>IF(N(F112)&gt;0.005,103,"")</f>
      </c>
      <c r="B113" s="2">
        <f>IF(N(F112)&gt;0.005,MIN($B$7,N(F112)*(1+$B$5/12)),"")</f>
      </c>
      <c r="C113" s="2">
        <f>IF(N(F112)&gt;0.005,N(F112)*$B$5/12,"")</f>
      </c>
      <c r="D113" s="2">
        <f>IF(N(F112)&gt;0.005,N(B113)-N(C113),"")</f>
      </c>
      <c r="E113" s="3">
        <v>0</v>
      </c>
      <c r="F113" s="2">
        <f>IF(N(F112)&gt;0.005,MAX(0,N(F112)-N(D113)-N(E113)),"")</f>
      </c>
    </row>
    <row r="114">
      <c r="A114" s="1">
        <f>IF(N(F113)&gt;0.005,104,"")</f>
      </c>
      <c r="B114" s="2">
        <f>IF(N(F113)&gt;0.005,MIN($B$7,N(F113)*(1+$B$5/12)),"")</f>
      </c>
      <c r="C114" s="2">
        <f>IF(N(F113)&gt;0.005,N(F113)*$B$5/12,"")</f>
      </c>
      <c r="D114" s="2">
        <f>IF(N(F113)&gt;0.005,N(B114)-N(C114),"")</f>
      </c>
      <c r="E114" s="3">
        <v>0</v>
      </c>
      <c r="F114" s="2">
        <f>IF(N(F113)&gt;0.005,MAX(0,N(F113)-N(D114)-N(E114)),"")</f>
      </c>
    </row>
    <row r="115">
      <c r="A115" s="1">
        <f>IF(N(F114)&gt;0.005,105,"")</f>
      </c>
      <c r="B115" s="2">
        <f>IF(N(F114)&gt;0.005,MIN($B$7,N(F114)*(1+$B$5/12)),"")</f>
      </c>
      <c r="C115" s="2">
        <f>IF(N(F114)&gt;0.005,N(F114)*$B$5/12,"")</f>
      </c>
      <c r="D115" s="2">
        <f>IF(N(F114)&gt;0.005,N(B115)-N(C115),"")</f>
      </c>
      <c r="E115" s="3">
        <v>0</v>
      </c>
      <c r="F115" s="2">
        <f>IF(N(F114)&gt;0.005,MAX(0,N(F114)-N(D115)-N(E115)),"")</f>
      </c>
    </row>
    <row r="116">
      <c r="A116" s="1">
        <f>IF(N(F115)&gt;0.005,106,"")</f>
      </c>
      <c r="B116" s="2">
        <f>IF(N(F115)&gt;0.005,MIN($B$7,N(F115)*(1+$B$5/12)),"")</f>
      </c>
      <c r="C116" s="2">
        <f>IF(N(F115)&gt;0.005,N(F115)*$B$5/12,"")</f>
      </c>
      <c r="D116" s="2">
        <f>IF(N(F115)&gt;0.005,N(B116)-N(C116),"")</f>
      </c>
      <c r="E116" s="3">
        <v>0</v>
      </c>
      <c r="F116" s="2">
        <f>IF(N(F115)&gt;0.005,MAX(0,N(F115)-N(D116)-N(E116)),"")</f>
      </c>
    </row>
    <row r="117">
      <c r="A117" s="1">
        <f>IF(N(F116)&gt;0.005,107,"")</f>
      </c>
      <c r="B117" s="2">
        <f>IF(N(F116)&gt;0.005,MIN($B$7,N(F116)*(1+$B$5/12)),"")</f>
      </c>
      <c r="C117" s="2">
        <f>IF(N(F116)&gt;0.005,N(F116)*$B$5/12,"")</f>
      </c>
      <c r="D117" s="2">
        <f>IF(N(F116)&gt;0.005,N(B117)-N(C117),"")</f>
      </c>
      <c r="E117" s="3">
        <v>0</v>
      </c>
      <c r="F117" s="2">
        <f>IF(N(F116)&gt;0.005,MAX(0,N(F116)-N(D117)-N(E117)),"")</f>
      </c>
    </row>
    <row r="118">
      <c r="A118" s="1">
        <f>IF(N(F117)&gt;0.005,108,"")</f>
      </c>
      <c r="B118" s="2">
        <f>IF(N(F117)&gt;0.005,MIN($B$7,N(F117)*(1+$B$5/12)),"")</f>
      </c>
      <c r="C118" s="2">
        <f>IF(N(F117)&gt;0.005,N(F117)*$B$5/12,"")</f>
      </c>
      <c r="D118" s="2">
        <f>IF(N(F117)&gt;0.005,N(B118)-N(C118),"")</f>
      </c>
      <c r="E118" s="3">
        <v>0</v>
      </c>
      <c r="F118" s="2">
        <f>IF(N(F117)&gt;0.005,MAX(0,N(F117)-N(D118)-N(E118)),"")</f>
      </c>
    </row>
    <row r="119">
      <c r="A119" s="1">
        <f>IF(N(F118)&gt;0.005,109,"")</f>
      </c>
      <c r="B119" s="2">
        <f>IF(N(F118)&gt;0.005,MIN($B$7,N(F118)*(1+$B$5/12)),"")</f>
      </c>
      <c r="C119" s="2">
        <f>IF(N(F118)&gt;0.005,N(F118)*$B$5/12,"")</f>
      </c>
      <c r="D119" s="2">
        <f>IF(N(F118)&gt;0.005,N(B119)-N(C119),"")</f>
      </c>
      <c r="E119" s="3">
        <v>0</v>
      </c>
      <c r="F119" s="2">
        <f>IF(N(F118)&gt;0.005,MAX(0,N(F118)-N(D119)-N(E119)),"")</f>
      </c>
    </row>
    <row r="120">
      <c r="A120" s="1">
        <f>IF(N(F119)&gt;0.005,110,"")</f>
      </c>
      <c r="B120" s="2">
        <f>IF(N(F119)&gt;0.005,MIN($B$7,N(F119)*(1+$B$5/12)),"")</f>
      </c>
      <c r="C120" s="2">
        <f>IF(N(F119)&gt;0.005,N(F119)*$B$5/12,"")</f>
      </c>
      <c r="D120" s="2">
        <f>IF(N(F119)&gt;0.005,N(B120)-N(C120),"")</f>
      </c>
      <c r="E120" s="3">
        <v>0</v>
      </c>
      <c r="F120" s="2">
        <f>IF(N(F119)&gt;0.005,MAX(0,N(F119)-N(D120)-N(E120)),"")</f>
      </c>
    </row>
    <row r="121">
      <c r="A121" s="1">
        <f>IF(N(F120)&gt;0.005,111,"")</f>
      </c>
      <c r="B121" s="2">
        <f>IF(N(F120)&gt;0.005,MIN($B$7,N(F120)*(1+$B$5/12)),"")</f>
      </c>
      <c r="C121" s="2">
        <f>IF(N(F120)&gt;0.005,N(F120)*$B$5/12,"")</f>
      </c>
      <c r="D121" s="2">
        <f>IF(N(F120)&gt;0.005,N(B121)-N(C121),"")</f>
      </c>
      <c r="E121" s="3">
        <v>0</v>
      </c>
      <c r="F121" s="2">
        <f>IF(N(F120)&gt;0.005,MAX(0,N(F120)-N(D121)-N(E121)),"")</f>
      </c>
    </row>
    <row r="122">
      <c r="A122" s="1">
        <f>IF(N(F121)&gt;0.005,112,"")</f>
      </c>
      <c r="B122" s="2">
        <f>IF(N(F121)&gt;0.005,MIN($B$7,N(F121)*(1+$B$5/12)),"")</f>
      </c>
      <c r="C122" s="2">
        <f>IF(N(F121)&gt;0.005,N(F121)*$B$5/12,"")</f>
      </c>
      <c r="D122" s="2">
        <f>IF(N(F121)&gt;0.005,N(B122)-N(C122),"")</f>
      </c>
      <c r="E122" s="3">
        <v>0</v>
      </c>
      <c r="F122" s="2">
        <f>IF(N(F121)&gt;0.005,MAX(0,N(F121)-N(D122)-N(E122)),"")</f>
      </c>
    </row>
    <row r="123">
      <c r="A123" s="1">
        <f>IF(N(F122)&gt;0.005,113,"")</f>
      </c>
      <c r="B123" s="2">
        <f>IF(N(F122)&gt;0.005,MIN($B$7,N(F122)*(1+$B$5/12)),"")</f>
      </c>
      <c r="C123" s="2">
        <f>IF(N(F122)&gt;0.005,N(F122)*$B$5/12,"")</f>
      </c>
      <c r="D123" s="2">
        <f>IF(N(F122)&gt;0.005,N(B123)-N(C123),"")</f>
      </c>
      <c r="E123" s="3">
        <v>0</v>
      </c>
      <c r="F123" s="2">
        <f>IF(N(F122)&gt;0.005,MAX(0,N(F122)-N(D123)-N(E123)),"")</f>
      </c>
    </row>
    <row r="124">
      <c r="A124" s="1">
        <f>IF(N(F123)&gt;0.005,114,"")</f>
      </c>
      <c r="B124" s="2">
        <f>IF(N(F123)&gt;0.005,MIN($B$7,N(F123)*(1+$B$5/12)),"")</f>
      </c>
      <c r="C124" s="2">
        <f>IF(N(F123)&gt;0.005,N(F123)*$B$5/12,"")</f>
      </c>
      <c r="D124" s="2">
        <f>IF(N(F123)&gt;0.005,N(B124)-N(C124),"")</f>
      </c>
      <c r="E124" s="3">
        <v>0</v>
      </c>
      <c r="F124" s="2">
        <f>IF(N(F123)&gt;0.005,MAX(0,N(F123)-N(D124)-N(E124)),"")</f>
      </c>
    </row>
    <row r="125">
      <c r="A125" s="1">
        <f>IF(N(F124)&gt;0.005,115,"")</f>
      </c>
      <c r="B125" s="2">
        <f>IF(N(F124)&gt;0.005,MIN($B$7,N(F124)*(1+$B$5/12)),"")</f>
      </c>
      <c r="C125" s="2">
        <f>IF(N(F124)&gt;0.005,N(F124)*$B$5/12,"")</f>
      </c>
      <c r="D125" s="2">
        <f>IF(N(F124)&gt;0.005,N(B125)-N(C125),"")</f>
      </c>
      <c r="E125" s="3">
        <v>0</v>
      </c>
      <c r="F125" s="2">
        <f>IF(N(F124)&gt;0.005,MAX(0,N(F124)-N(D125)-N(E125)),"")</f>
      </c>
    </row>
    <row r="126">
      <c r="A126" s="1">
        <f>IF(N(F125)&gt;0.005,116,"")</f>
      </c>
      <c r="B126" s="2">
        <f>IF(N(F125)&gt;0.005,MIN($B$7,N(F125)*(1+$B$5/12)),"")</f>
      </c>
      <c r="C126" s="2">
        <f>IF(N(F125)&gt;0.005,N(F125)*$B$5/12,"")</f>
      </c>
      <c r="D126" s="2">
        <f>IF(N(F125)&gt;0.005,N(B126)-N(C126),"")</f>
      </c>
      <c r="E126" s="3">
        <v>0</v>
      </c>
      <c r="F126" s="2">
        <f>IF(N(F125)&gt;0.005,MAX(0,N(F125)-N(D126)-N(E126)),"")</f>
      </c>
    </row>
    <row r="127">
      <c r="A127" s="1">
        <f>IF(N(F126)&gt;0.005,117,"")</f>
      </c>
      <c r="B127" s="2">
        <f>IF(N(F126)&gt;0.005,MIN($B$7,N(F126)*(1+$B$5/12)),"")</f>
      </c>
      <c r="C127" s="2">
        <f>IF(N(F126)&gt;0.005,N(F126)*$B$5/12,"")</f>
      </c>
      <c r="D127" s="2">
        <f>IF(N(F126)&gt;0.005,N(B127)-N(C127),"")</f>
      </c>
      <c r="E127" s="3">
        <v>0</v>
      </c>
      <c r="F127" s="2">
        <f>IF(N(F126)&gt;0.005,MAX(0,N(F126)-N(D127)-N(E127)),"")</f>
      </c>
    </row>
    <row r="128">
      <c r="A128" s="1">
        <f>IF(N(F127)&gt;0.005,118,"")</f>
      </c>
      <c r="B128" s="2">
        <f>IF(N(F127)&gt;0.005,MIN($B$7,N(F127)*(1+$B$5/12)),"")</f>
      </c>
      <c r="C128" s="2">
        <f>IF(N(F127)&gt;0.005,N(F127)*$B$5/12,"")</f>
      </c>
      <c r="D128" s="2">
        <f>IF(N(F127)&gt;0.005,N(B128)-N(C128),"")</f>
      </c>
      <c r="E128" s="3">
        <v>0</v>
      </c>
      <c r="F128" s="2">
        <f>IF(N(F127)&gt;0.005,MAX(0,N(F127)-N(D128)-N(E128)),"")</f>
      </c>
    </row>
    <row r="129">
      <c r="A129" s="1">
        <f>IF(N(F128)&gt;0.005,119,"")</f>
      </c>
      <c r="B129" s="2">
        <f>IF(N(F128)&gt;0.005,MIN($B$7,N(F128)*(1+$B$5/12)),"")</f>
      </c>
      <c r="C129" s="2">
        <f>IF(N(F128)&gt;0.005,N(F128)*$B$5/12,"")</f>
      </c>
      <c r="D129" s="2">
        <f>IF(N(F128)&gt;0.005,N(B129)-N(C129),"")</f>
      </c>
      <c r="E129" s="3">
        <v>0</v>
      </c>
      <c r="F129" s="2">
        <f>IF(N(F128)&gt;0.005,MAX(0,N(F128)-N(D129)-N(E129)),"")</f>
      </c>
    </row>
    <row r="130">
      <c r="A130" s="1">
        <f>IF(N(F129)&gt;0.005,120,"")</f>
      </c>
      <c r="B130" s="2">
        <f>IF(N(F129)&gt;0.005,MIN($B$7,N(F129)*(1+$B$5/12)),"")</f>
      </c>
      <c r="C130" s="2">
        <f>IF(N(F129)&gt;0.005,N(F129)*$B$5/12,"")</f>
      </c>
      <c r="D130" s="2">
        <f>IF(N(F129)&gt;0.005,N(B130)-N(C130),"")</f>
      </c>
      <c r="E130" s="3">
        <v>0</v>
      </c>
      <c r="F130" s="2">
        <f>IF(N(F129)&gt;0.005,MAX(0,N(F129)-N(D130)-N(E130)),"")</f>
      </c>
    </row>
    <row r="131">
      <c r="A131" s="1">
        <f>IF(N(F130)&gt;0.005,121,"")</f>
      </c>
      <c r="B131" s="2">
        <f>IF(N(F130)&gt;0.005,MIN($B$7,N(F130)*(1+$B$5/12)),"")</f>
      </c>
      <c r="C131" s="2">
        <f>IF(N(F130)&gt;0.005,N(F130)*$B$5/12,"")</f>
      </c>
      <c r="D131" s="2">
        <f>IF(N(F130)&gt;0.005,N(B131)-N(C131),"")</f>
      </c>
      <c r="E131" s="3">
        <v>0</v>
      </c>
      <c r="F131" s="2">
        <f>IF(N(F130)&gt;0.005,MAX(0,N(F130)-N(D131)-N(E131)),"")</f>
      </c>
    </row>
    <row r="132">
      <c r="A132" s="1">
        <f>IF(N(F131)&gt;0.005,122,"")</f>
      </c>
      <c r="B132" s="2">
        <f>IF(N(F131)&gt;0.005,MIN($B$7,N(F131)*(1+$B$5/12)),"")</f>
      </c>
      <c r="C132" s="2">
        <f>IF(N(F131)&gt;0.005,N(F131)*$B$5/12,"")</f>
      </c>
      <c r="D132" s="2">
        <f>IF(N(F131)&gt;0.005,N(B132)-N(C132),"")</f>
      </c>
      <c r="E132" s="3">
        <v>0</v>
      </c>
      <c r="F132" s="2">
        <f>IF(N(F131)&gt;0.005,MAX(0,N(F131)-N(D132)-N(E132)),"")</f>
      </c>
    </row>
    <row r="133">
      <c r="A133" s="1">
        <f>IF(N(F132)&gt;0.005,123,"")</f>
      </c>
      <c r="B133" s="2">
        <f>IF(N(F132)&gt;0.005,MIN($B$7,N(F132)*(1+$B$5/12)),"")</f>
      </c>
      <c r="C133" s="2">
        <f>IF(N(F132)&gt;0.005,N(F132)*$B$5/12,"")</f>
      </c>
      <c r="D133" s="2">
        <f>IF(N(F132)&gt;0.005,N(B133)-N(C133),"")</f>
      </c>
      <c r="E133" s="3">
        <v>0</v>
      </c>
      <c r="F133" s="2">
        <f>IF(N(F132)&gt;0.005,MAX(0,N(F132)-N(D133)-N(E133)),"")</f>
      </c>
    </row>
    <row r="134">
      <c r="A134" s="1">
        <f>IF(N(F133)&gt;0.005,124,"")</f>
      </c>
      <c r="B134" s="2">
        <f>IF(N(F133)&gt;0.005,MIN($B$7,N(F133)*(1+$B$5/12)),"")</f>
      </c>
      <c r="C134" s="2">
        <f>IF(N(F133)&gt;0.005,N(F133)*$B$5/12,"")</f>
      </c>
      <c r="D134" s="2">
        <f>IF(N(F133)&gt;0.005,N(B134)-N(C134),"")</f>
      </c>
      <c r="E134" s="3">
        <v>0</v>
      </c>
      <c r="F134" s="2">
        <f>IF(N(F133)&gt;0.005,MAX(0,N(F133)-N(D134)-N(E134)),"")</f>
      </c>
    </row>
    <row r="135">
      <c r="A135" s="1">
        <f>IF(N(F134)&gt;0.005,125,"")</f>
      </c>
      <c r="B135" s="2">
        <f>IF(N(F134)&gt;0.005,MIN($B$7,N(F134)*(1+$B$5/12)),"")</f>
      </c>
      <c r="C135" s="2">
        <f>IF(N(F134)&gt;0.005,N(F134)*$B$5/12,"")</f>
      </c>
      <c r="D135" s="2">
        <f>IF(N(F134)&gt;0.005,N(B135)-N(C135),"")</f>
      </c>
      <c r="E135" s="3">
        <v>0</v>
      </c>
      <c r="F135" s="2">
        <f>IF(N(F134)&gt;0.005,MAX(0,N(F134)-N(D135)-N(E135)),"")</f>
      </c>
    </row>
    <row r="136">
      <c r="A136" s="1">
        <f>IF(N(F135)&gt;0.005,126,"")</f>
      </c>
      <c r="B136" s="2">
        <f>IF(N(F135)&gt;0.005,MIN($B$7,N(F135)*(1+$B$5/12)),"")</f>
      </c>
      <c r="C136" s="2">
        <f>IF(N(F135)&gt;0.005,N(F135)*$B$5/12,"")</f>
      </c>
      <c r="D136" s="2">
        <f>IF(N(F135)&gt;0.005,N(B136)-N(C136),"")</f>
      </c>
      <c r="E136" s="3">
        <v>0</v>
      </c>
      <c r="F136" s="2">
        <f>IF(N(F135)&gt;0.005,MAX(0,N(F135)-N(D136)-N(E136)),"")</f>
      </c>
    </row>
    <row r="137">
      <c r="A137" s="1">
        <f>IF(N(F136)&gt;0.005,127,"")</f>
      </c>
      <c r="B137" s="2">
        <f>IF(N(F136)&gt;0.005,MIN($B$7,N(F136)*(1+$B$5/12)),"")</f>
      </c>
      <c r="C137" s="2">
        <f>IF(N(F136)&gt;0.005,N(F136)*$B$5/12,"")</f>
      </c>
      <c r="D137" s="2">
        <f>IF(N(F136)&gt;0.005,N(B137)-N(C137),"")</f>
      </c>
      <c r="E137" s="3">
        <v>0</v>
      </c>
      <c r="F137" s="2">
        <f>IF(N(F136)&gt;0.005,MAX(0,N(F136)-N(D137)-N(E137)),"")</f>
      </c>
    </row>
    <row r="138">
      <c r="A138" s="1">
        <f>IF(N(F137)&gt;0.005,128,"")</f>
      </c>
      <c r="B138" s="2">
        <f>IF(N(F137)&gt;0.005,MIN($B$7,N(F137)*(1+$B$5/12)),"")</f>
      </c>
      <c r="C138" s="2">
        <f>IF(N(F137)&gt;0.005,N(F137)*$B$5/12,"")</f>
      </c>
      <c r="D138" s="2">
        <f>IF(N(F137)&gt;0.005,N(B138)-N(C138),"")</f>
      </c>
      <c r="E138" s="3">
        <v>0</v>
      </c>
      <c r="F138" s="2">
        <f>IF(N(F137)&gt;0.005,MAX(0,N(F137)-N(D138)-N(E138)),"")</f>
      </c>
    </row>
    <row r="139">
      <c r="A139" s="1">
        <f>IF(N(F138)&gt;0.005,129,"")</f>
      </c>
      <c r="B139" s="2">
        <f>IF(N(F138)&gt;0.005,MIN($B$7,N(F138)*(1+$B$5/12)),"")</f>
      </c>
      <c r="C139" s="2">
        <f>IF(N(F138)&gt;0.005,N(F138)*$B$5/12,"")</f>
      </c>
      <c r="D139" s="2">
        <f>IF(N(F138)&gt;0.005,N(B139)-N(C139),"")</f>
      </c>
      <c r="E139" s="3">
        <v>0</v>
      </c>
      <c r="F139" s="2">
        <f>IF(N(F138)&gt;0.005,MAX(0,N(F138)-N(D139)-N(E139)),"")</f>
      </c>
    </row>
    <row r="140">
      <c r="A140" s="1">
        <f>IF(N(F139)&gt;0.005,130,"")</f>
      </c>
      <c r="B140" s="2">
        <f>IF(N(F139)&gt;0.005,MIN($B$7,N(F139)*(1+$B$5/12)),"")</f>
      </c>
      <c r="C140" s="2">
        <f>IF(N(F139)&gt;0.005,N(F139)*$B$5/12,"")</f>
      </c>
      <c r="D140" s="2">
        <f>IF(N(F139)&gt;0.005,N(B140)-N(C140),"")</f>
      </c>
      <c r="E140" s="3">
        <v>0</v>
      </c>
      <c r="F140" s="2">
        <f>IF(N(F139)&gt;0.005,MAX(0,N(F139)-N(D140)-N(E140)),"")</f>
      </c>
    </row>
    <row r="141">
      <c r="A141" s="1">
        <f>IF(N(F140)&gt;0.005,131,"")</f>
      </c>
      <c r="B141" s="2">
        <f>IF(N(F140)&gt;0.005,MIN($B$7,N(F140)*(1+$B$5/12)),"")</f>
      </c>
      <c r="C141" s="2">
        <f>IF(N(F140)&gt;0.005,N(F140)*$B$5/12,"")</f>
      </c>
      <c r="D141" s="2">
        <f>IF(N(F140)&gt;0.005,N(B141)-N(C141),"")</f>
      </c>
      <c r="E141" s="3">
        <v>0</v>
      </c>
      <c r="F141" s="2">
        <f>IF(N(F140)&gt;0.005,MAX(0,N(F140)-N(D141)-N(E141)),"")</f>
      </c>
    </row>
    <row r="142">
      <c r="A142" s="1">
        <f>IF(N(F141)&gt;0.005,132,"")</f>
      </c>
      <c r="B142" s="2">
        <f>IF(N(F141)&gt;0.005,MIN($B$7,N(F141)*(1+$B$5/12)),"")</f>
      </c>
      <c r="C142" s="2">
        <f>IF(N(F141)&gt;0.005,N(F141)*$B$5/12,"")</f>
      </c>
      <c r="D142" s="2">
        <f>IF(N(F141)&gt;0.005,N(B142)-N(C142),"")</f>
      </c>
      <c r="E142" s="3">
        <v>0</v>
      </c>
      <c r="F142" s="2">
        <f>IF(N(F141)&gt;0.005,MAX(0,N(F141)-N(D142)-N(E142)),"")</f>
      </c>
    </row>
    <row r="143">
      <c r="A143" s="1">
        <f>IF(N(F142)&gt;0.005,133,"")</f>
      </c>
      <c r="B143" s="2">
        <f>IF(N(F142)&gt;0.005,MIN($B$7,N(F142)*(1+$B$5/12)),"")</f>
      </c>
      <c r="C143" s="2">
        <f>IF(N(F142)&gt;0.005,N(F142)*$B$5/12,"")</f>
      </c>
      <c r="D143" s="2">
        <f>IF(N(F142)&gt;0.005,N(B143)-N(C143),"")</f>
      </c>
      <c r="E143" s="3">
        <v>0</v>
      </c>
      <c r="F143" s="2">
        <f>IF(N(F142)&gt;0.005,MAX(0,N(F142)-N(D143)-N(E143)),"")</f>
      </c>
    </row>
    <row r="144">
      <c r="A144" s="1">
        <f>IF(N(F143)&gt;0.005,134,"")</f>
      </c>
      <c r="B144" s="2">
        <f>IF(N(F143)&gt;0.005,MIN($B$7,N(F143)*(1+$B$5/12)),"")</f>
      </c>
      <c r="C144" s="2">
        <f>IF(N(F143)&gt;0.005,N(F143)*$B$5/12,"")</f>
      </c>
      <c r="D144" s="2">
        <f>IF(N(F143)&gt;0.005,N(B144)-N(C144),"")</f>
      </c>
      <c r="E144" s="3">
        <v>0</v>
      </c>
      <c r="F144" s="2">
        <f>IF(N(F143)&gt;0.005,MAX(0,N(F143)-N(D144)-N(E144)),"")</f>
      </c>
    </row>
    <row r="145">
      <c r="A145" s="1">
        <f>IF(N(F144)&gt;0.005,135,"")</f>
      </c>
      <c r="B145" s="2">
        <f>IF(N(F144)&gt;0.005,MIN($B$7,N(F144)*(1+$B$5/12)),"")</f>
      </c>
      <c r="C145" s="2">
        <f>IF(N(F144)&gt;0.005,N(F144)*$B$5/12,"")</f>
      </c>
      <c r="D145" s="2">
        <f>IF(N(F144)&gt;0.005,N(B145)-N(C145),"")</f>
      </c>
      <c r="E145" s="3">
        <v>0</v>
      </c>
      <c r="F145" s="2">
        <f>IF(N(F144)&gt;0.005,MAX(0,N(F144)-N(D145)-N(E145)),"")</f>
      </c>
    </row>
    <row r="146">
      <c r="A146" s="1">
        <f>IF(N(F145)&gt;0.005,136,"")</f>
      </c>
      <c r="B146" s="2">
        <f>IF(N(F145)&gt;0.005,MIN($B$7,N(F145)*(1+$B$5/12)),"")</f>
      </c>
      <c r="C146" s="2">
        <f>IF(N(F145)&gt;0.005,N(F145)*$B$5/12,"")</f>
      </c>
      <c r="D146" s="2">
        <f>IF(N(F145)&gt;0.005,N(B146)-N(C146),"")</f>
      </c>
      <c r="E146" s="3">
        <v>0</v>
      </c>
      <c r="F146" s="2">
        <f>IF(N(F145)&gt;0.005,MAX(0,N(F145)-N(D146)-N(E146)),"")</f>
      </c>
    </row>
    <row r="147">
      <c r="A147" s="1">
        <f>IF(N(F146)&gt;0.005,137,"")</f>
      </c>
      <c r="B147" s="2">
        <f>IF(N(F146)&gt;0.005,MIN($B$7,N(F146)*(1+$B$5/12)),"")</f>
      </c>
      <c r="C147" s="2">
        <f>IF(N(F146)&gt;0.005,N(F146)*$B$5/12,"")</f>
      </c>
      <c r="D147" s="2">
        <f>IF(N(F146)&gt;0.005,N(B147)-N(C147),"")</f>
      </c>
      <c r="E147" s="3">
        <v>0</v>
      </c>
      <c r="F147" s="2">
        <f>IF(N(F146)&gt;0.005,MAX(0,N(F146)-N(D147)-N(E147)),"")</f>
      </c>
    </row>
    <row r="148">
      <c r="A148" s="1">
        <f>IF(N(F147)&gt;0.005,138,"")</f>
      </c>
      <c r="B148" s="2">
        <f>IF(N(F147)&gt;0.005,MIN($B$7,N(F147)*(1+$B$5/12)),"")</f>
      </c>
      <c r="C148" s="2">
        <f>IF(N(F147)&gt;0.005,N(F147)*$B$5/12,"")</f>
      </c>
      <c r="D148" s="2">
        <f>IF(N(F147)&gt;0.005,N(B148)-N(C148),"")</f>
      </c>
      <c r="E148" s="3">
        <v>0</v>
      </c>
      <c r="F148" s="2">
        <f>IF(N(F147)&gt;0.005,MAX(0,N(F147)-N(D148)-N(E148)),"")</f>
      </c>
    </row>
    <row r="149">
      <c r="A149" s="1">
        <f>IF(N(F148)&gt;0.005,139,"")</f>
      </c>
      <c r="B149" s="2">
        <f>IF(N(F148)&gt;0.005,MIN($B$7,N(F148)*(1+$B$5/12)),"")</f>
      </c>
      <c r="C149" s="2">
        <f>IF(N(F148)&gt;0.005,N(F148)*$B$5/12,"")</f>
      </c>
      <c r="D149" s="2">
        <f>IF(N(F148)&gt;0.005,N(B149)-N(C149),"")</f>
      </c>
      <c r="E149" s="3">
        <v>0</v>
      </c>
      <c r="F149" s="2">
        <f>IF(N(F148)&gt;0.005,MAX(0,N(F148)-N(D149)-N(E149)),"")</f>
      </c>
    </row>
    <row r="150">
      <c r="A150" s="1">
        <f>IF(N(F149)&gt;0.005,140,"")</f>
      </c>
      <c r="B150" s="2">
        <f>IF(N(F149)&gt;0.005,MIN($B$7,N(F149)*(1+$B$5/12)),"")</f>
      </c>
      <c r="C150" s="2">
        <f>IF(N(F149)&gt;0.005,N(F149)*$B$5/12,"")</f>
      </c>
      <c r="D150" s="2">
        <f>IF(N(F149)&gt;0.005,N(B150)-N(C150),"")</f>
      </c>
      <c r="E150" s="3">
        <v>0</v>
      </c>
      <c r="F150" s="2">
        <f>IF(N(F149)&gt;0.005,MAX(0,N(F149)-N(D150)-N(E150)),"")</f>
      </c>
    </row>
    <row r="151">
      <c r="A151" s="1">
        <f>IF(N(F150)&gt;0.005,141,"")</f>
      </c>
      <c r="B151" s="2">
        <f>IF(N(F150)&gt;0.005,MIN($B$7,N(F150)*(1+$B$5/12)),"")</f>
      </c>
      <c r="C151" s="2">
        <f>IF(N(F150)&gt;0.005,N(F150)*$B$5/12,"")</f>
      </c>
      <c r="D151" s="2">
        <f>IF(N(F150)&gt;0.005,N(B151)-N(C151),"")</f>
      </c>
      <c r="E151" s="3">
        <v>0</v>
      </c>
      <c r="F151" s="2">
        <f>IF(N(F150)&gt;0.005,MAX(0,N(F150)-N(D151)-N(E151)),"")</f>
      </c>
    </row>
    <row r="152">
      <c r="A152" s="1">
        <f>IF(N(F151)&gt;0.005,142,"")</f>
      </c>
      <c r="B152" s="2">
        <f>IF(N(F151)&gt;0.005,MIN($B$7,N(F151)*(1+$B$5/12)),"")</f>
      </c>
      <c r="C152" s="2">
        <f>IF(N(F151)&gt;0.005,N(F151)*$B$5/12,"")</f>
      </c>
      <c r="D152" s="2">
        <f>IF(N(F151)&gt;0.005,N(B152)-N(C152),"")</f>
      </c>
      <c r="E152" s="3">
        <v>0</v>
      </c>
      <c r="F152" s="2">
        <f>IF(N(F151)&gt;0.005,MAX(0,N(F151)-N(D152)-N(E152)),"")</f>
      </c>
    </row>
    <row r="153">
      <c r="A153" s="1">
        <f>IF(N(F152)&gt;0.005,143,"")</f>
      </c>
      <c r="B153" s="2">
        <f>IF(N(F152)&gt;0.005,MIN($B$7,N(F152)*(1+$B$5/12)),"")</f>
      </c>
      <c r="C153" s="2">
        <f>IF(N(F152)&gt;0.005,N(F152)*$B$5/12,"")</f>
      </c>
      <c r="D153" s="2">
        <f>IF(N(F152)&gt;0.005,N(B153)-N(C153),"")</f>
      </c>
      <c r="E153" s="3">
        <v>0</v>
      </c>
      <c r="F153" s="2">
        <f>IF(N(F152)&gt;0.005,MAX(0,N(F152)-N(D153)-N(E153)),"")</f>
      </c>
    </row>
    <row r="154">
      <c r="A154" s="1">
        <f>IF(N(F153)&gt;0.005,144,"")</f>
      </c>
      <c r="B154" s="2">
        <f>IF(N(F153)&gt;0.005,MIN($B$7,N(F153)*(1+$B$5/12)),"")</f>
      </c>
      <c r="C154" s="2">
        <f>IF(N(F153)&gt;0.005,N(F153)*$B$5/12,"")</f>
      </c>
      <c r="D154" s="2">
        <f>IF(N(F153)&gt;0.005,N(B154)-N(C154),"")</f>
      </c>
      <c r="E154" s="3">
        <v>0</v>
      </c>
      <c r="F154" s="2">
        <f>IF(N(F153)&gt;0.005,MAX(0,N(F153)-N(D154)-N(E154)),"")</f>
      </c>
    </row>
    <row r="155">
      <c r="A155" s="1">
        <f>IF(N(F154)&gt;0.005,145,"")</f>
      </c>
      <c r="B155" s="2">
        <f>IF(N(F154)&gt;0.005,MIN($B$7,N(F154)*(1+$B$5/12)),"")</f>
      </c>
      <c r="C155" s="2">
        <f>IF(N(F154)&gt;0.005,N(F154)*$B$5/12,"")</f>
      </c>
      <c r="D155" s="2">
        <f>IF(N(F154)&gt;0.005,N(B155)-N(C155),"")</f>
      </c>
      <c r="E155" s="3">
        <v>0</v>
      </c>
      <c r="F155" s="2">
        <f>IF(N(F154)&gt;0.005,MAX(0,N(F154)-N(D155)-N(E155)),"")</f>
      </c>
    </row>
    <row r="156">
      <c r="A156" s="1">
        <f>IF(N(F155)&gt;0.005,146,"")</f>
      </c>
      <c r="B156" s="2">
        <f>IF(N(F155)&gt;0.005,MIN($B$7,N(F155)*(1+$B$5/12)),"")</f>
      </c>
      <c r="C156" s="2">
        <f>IF(N(F155)&gt;0.005,N(F155)*$B$5/12,"")</f>
      </c>
      <c r="D156" s="2">
        <f>IF(N(F155)&gt;0.005,N(B156)-N(C156),"")</f>
      </c>
      <c r="E156" s="3">
        <v>0</v>
      </c>
      <c r="F156" s="2">
        <f>IF(N(F155)&gt;0.005,MAX(0,N(F155)-N(D156)-N(E156)),"")</f>
      </c>
    </row>
    <row r="157">
      <c r="A157" s="1">
        <f>IF(N(F156)&gt;0.005,147,"")</f>
      </c>
      <c r="B157" s="2">
        <f>IF(N(F156)&gt;0.005,MIN($B$7,N(F156)*(1+$B$5/12)),"")</f>
      </c>
      <c r="C157" s="2">
        <f>IF(N(F156)&gt;0.005,N(F156)*$B$5/12,"")</f>
      </c>
      <c r="D157" s="2">
        <f>IF(N(F156)&gt;0.005,N(B157)-N(C157),"")</f>
      </c>
      <c r="E157" s="3">
        <v>0</v>
      </c>
      <c r="F157" s="2">
        <f>IF(N(F156)&gt;0.005,MAX(0,N(F156)-N(D157)-N(E157)),"")</f>
      </c>
    </row>
    <row r="158">
      <c r="A158" s="1">
        <f>IF(N(F157)&gt;0.005,148,"")</f>
      </c>
      <c r="B158" s="2">
        <f>IF(N(F157)&gt;0.005,MIN($B$7,N(F157)*(1+$B$5/12)),"")</f>
      </c>
      <c r="C158" s="2">
        <f>IF(N(F157)&gt;0.005,N(F157)*$B$5/12,"")</f>
      </c>
      <c r="D158" s="2">
        <f>IF(N(F157)&gt;0.005,N(B158)-N(C158),"")</f>
      </c>
      <c r="E158" s="3">
        <v>0</v>
      </c>
      <c r="F158" s="2">
        <f>IF(N(F157)&gt;0.005,MAX(0,N(F157)-N(D158)-N(E158)),"")</f>
      </c>
    </row>
    <row r="159">
      <c r="A159" s="1">
        <f>IF(N(F158)&gt;0.005,149,"")</f>
      </c>
      <c r="B159" s="2">
        <f>IF(N(F158)&gt;0.005,MIN($B$7,N(F158)*(1+$B$5/12)),"")</f>
      </c>
      <c r="C159" s="2">
        <f>IF(N(F158)&gt;0.005,N(F158)*$B$5/12,"")</f>
      </c>
      <c r="D159" s="2">
        <f>IF(N(F158)&gt;0.005,N(B159)-N(C159),"")</f>
      </c>
      <c r="E159" s="3">
        <v>0</v>
      </c>
      <c r="F159" s="2">
        <f>IF(N(F158)&gt;0.005,MAX(0,N(F158)-N(D159)-N(E159)),"")</f>
      </c>
    </row>
    <row r="160">
      <c r="A160" s="1">
        <f>IF(N(F159)&gt;0.005,150,"")</f>
      </c>
      <c r="B160" s="2">
        <f>IF(N(F159)&gt;0.005,MIN($B$7,N(F159)*(1+$B$5/12)),"")</f>
      </c>
      <c r="C160" s="2">
        <f>IF(N(F159)&gt;0.005,N(F159)*$B$5/12,"")</f>
      </c>
      <c r="D160" s="2">
        <f>IF(N(F159)&gt;0.005,N(B160)-N(C160),"")</f>
      </c>
      <c r="E160" s="3">
        <v>0</v>
      </c>
      <c r="F160" s="2">
        <f>IF(N(F159)&gt;0.005,MAX(0,N(F159)-N(D160)-N(E160)),"")</f>
      </c>
    </row>
    <row r="161">
      <c r="A161" s="1">
        <f>IF(N(F160)&gt;0.005,151,"")</f>
      </c>
      <c r="B161" s="2">
        <f>IF(N(F160)&gt;0.005,MIN($B$7,N(F160)*(1+$B$5/12)),"")</f>
      </c>
      <c r="C161" s="2">
        <f>IF(N(F160)&gt;0.005,N(F160)*$B$5/12,"")</f>
      </c>
      <c r="D161" s="2">
        <f>IF(N(F160)&gt;0.005,N(B161)-N(C161),"")</f>
      </c>
      <c r="E161" s="3">
        <v>0</v>
      </c>
      <c r="F161" s="2">
        <f>IF(N(F160)&gt;0.005,MAX(0,N(F160)-N(D161)-N(E161)),"")</f>
      </c>
    </row>
    <row r="162">
      <c r="A162" s="1">
        <f>IF(N(F161)&gt;0.005,152,"")</f>
      </c>
      <c r="B162" s="2">
        <f>IF(N(F161)&gt;0.005,MIN($B$7,N(F161)*(1+$B$5/12)),"")</f>
      </c>
      <c r="C162" s="2">
        <f>IF(N(F161)&gt;0.005,N(F161)*$B$5/12,"")</f>
      </c>
      <c r="D162" s="2">
        <f>IF(N(F161)&gt;0.005,N(B162)-N(C162),"")</f>
      </c>
      <c r="E162" s="3">
        <v>0</v>
      </c>
      <c r="F162" s="2">
        <f>IF(N(F161)&gt;0.005,MAX(0,N(F161)-N(D162)-N(E162)),"")</f>
      </c>
    </row>
    <row r="163">
      <c r="A163" s="1">
        <f>IF(N(F162)&gt;0.005,153,"")</f>
      </c>
      <c r="B163" s="2">
        <f>IF(N(F162)&gt;0.005,MIN($B$7,N(F162)*(1+$B$5/12)),"")</f>
      </c>
      <c r="C163" s="2">
        <f>IF(N(F162)&gt;0.005,N(F162)*$B$5/12,"")</f>
      </c>
      <c r="D163" s="2">
        <f>IF(N(F162)&gt;0.005,N(B163)-N(C163),"")</f>
      </c>
      <c r="E163" s="3">
        <v>0</v>
      </c>
      <c r="F163" s="2">
        <f>IF(N(F162)&gt;0.005,MAX(0,N(F162)-N(D163)-N(E163)),"")</f>
      </c>
    </row>
    <row r="164">
      <c r="A164" s="1">
        <f>IF(N(F163)&gt;0.005,154,"")</f>
      </c>
      <c r="B164" s="2">
        <f>IF(N(F163)&gt;0.005,MIN($B$7,N(F163)*(1+$B$5/12)),"")</f>
      </c>
      <c r="C164" s="2">
        <f>IF(N(F163)&gt;0.005,N(F163)*$B$5/12,"")</f>
      </c>
      <c r="D164" s="2">
        <f>IF(N(F163)&gt;0.005,N(B164)-N(C164),"")</f>
      </c>
      <c r="E164" s="3">
        <v>0</v>
      </c>
      <c r="F164" s="2">
        <f>IF(N(F163)&gt;0.005,MAX(0,N(F163)-N(D164)-N(E164)),"")</f>
      </c>
    </row>
    <row r="165">
      <c r="A165" s="1">
        <f>IF(N(F164)&gt;0.005,155,"")</f>
      </c>
      <c r="B165" s="2">
        <f>IF(N(F164)&gt;0.005,MIN($B$7,N(F164)*(1+$B$5/12)),"")</f>
      </c>
      <c r="C165" s="2">
        <f>IF(N(F164)&gt;0.005,N(F164)*$B$5/12,"")</f>
      </c>
      <c r="D165" s="2">
        <f>IF(N(F164)&gt;0.005,N(B165)-N(C165),"")</f>
      </c>
      <c r="E165" s="3">
        <v>0</v>
      </c>
      <c r="F165" s="2">
        <f>IF(N(F164)&gt;0.005,MAX(0,N(F164)-N(D165)-N(E165)),"")</f>
      </c>
    </row>
    <row r="166">
      <c r="A166" s="1">
        <f>IF(N(F165)&gt;0.005,156,"")</f>
      </c>
      <c r="B166" s="2">
        <f>IF(N(F165)&gt;0.005,MIN($B$7,N(F165)*(1+$B$5/12)),"")</f>
      </c>
      <c r="C166" s="2">
        <f>IF(N(F165)&gt;0.005,N(F165)*$B$5/12,"")</f>
      </c>
      <c r="D166" s="2">
        <f>IF(N(F165)&gt;0.005,N(B166)-N(C166),"")</f>
      </c>
      <c r="E166" s="3">
        <v>0</v>
      </c>
      <c r="F166" s="2">
        <f>IF(N(F165)&gt;0.005,MAX(0,N(F165)-N(D166)-N(E166)),"")</f>
      </c>
    </row>
    <row r="167">
      <c r="A167" s="1">
        <f>IF(N(F166)&gt;0.005,157,"")</f>
      </c>
      <c r="B167" s="2">
        <f>IF(N(F166)&gt;0.005,MIN($B$7,N(F166)*(1+$B$5/12)),"")</f>
      </c>
      <c r="C167" s="2">
        <f>IF(N(F166)&gt;0.005,N(F166)*$B$5/12,"")</f>
      </c>
      <c r="D167" s="2">
        <f>IF(N(F166)&gt;0.005,N(B167)-N(C167),"")</f>
      </c>
      <c r="E167" s="3">
        <v>0</v>
      </c>
      <c r="F167" s="2">
        <f>IF(N(F166)&gt;0.005,MAX(0,N(F166)-N(D167)-N(E167)),"")</f>
      </c>
    </row>
    <row r="168">
      <c r="A168" s="1">
        <f>IF(N(F167)&gt;0.005,158,"")</f>
      </c>
      <c r="B168" s="2">
        <f>IF(N(F167)&gt;0.005,MIN($B$7,N(F167)*(1+$B$5/12)),"")</f>
      </c>
      <c r="C168" s="2">
        <f>IF(N(F167)&gt;0.005,N(F167)*$B$5/12,"")</f>
      </c>
      <c r="D168" s="2">
        <f>IF(N(F167)&gt;0.005,N(B168)-N(C168),"")</f>
      </c>
      <c r="E168" s="3">
        <v>0</v>
      </c>
      <c r="F168" s="2">
        <f>IF(N(F167)&gt;0.005,MAX(0,N(F167)-N(D168)-N(E168)),"")</f>
      </c>
    </row>
    <row r="169">
      <c r="A169" s="1">
        <f>IF(N(F168)&gt;0.005,159,"")</f>
      </c>
      <c r="B169" s="2">
        <f>IF(N(F168)&gt;0.005,MIN($B$7,N(F168)*(1+$B$5/12)),"")</f>
      </c>
      <c r="C169" s="2">
        <f>IF(N(F168)&gt;0.005,N(F168)*$B$5/12,"")</f>
      </c>
      <c r="D169" s="2">
        <f>IF(N(F168)&gt;0.005,N(B169)-N(C169),"")</f>
      </c>
      <c r="E169" s="3">
        <v>0</v>
      </c>
      <c r="F169" s="2">
        <f>IF(N(F168)&gt;0.005,MAX(0,N(F168)-N(D169)-N(E169)),"")</f>
      </c>
    </row>
    <row r="170">
      <c r="A170" s="1">
        <f>IF(N(F169)&gt;0.005,160,"")</f>
      </c>
      <c r="B170" s="2">
        <f>IF(N(F169)&gt;0.005,MIN($B$7,N(F169)*(1+$B$5/12)),"")</f>
      </c>
      <c r="C170" s="2">
        <f>IF(N(F169)&gt;0.005,N(F169)*$B$5/12,"")</f>
      </c>
      <c r="D170" s="2">
        <f>IF(N(F169)&gt;0.005,N(B170)-N(C170),"")</f>
      </c>
      <c r="E170" s="3">
        <v>0</v>
      </c>
      <c r="F170" s="2">
        <f>IF(N(F169)&gt;0.005,MAX(0,N(F169)-N(D170)-N(E170)),"")</f>
      </c>
    </row>
    <row r="171">
      <c r="A171" s="1">
        <f>IF(N(F170)&gt;0.005,161,"")</f>
      </c>
      <c r="B171" s="2">
        <f>IF(N(F170)&gt;0.005,MIN($B$7,N(F170)*(1+$B$5/12)),"")</f>
      </c>
      <c r="C171" s="2">
        <f>IF(N(F170)&gt;0.005,N(F170)*$B$5/12,"")</f>
      </c>
      <c r="D171" s="2">
        <f>IF(N(F170)&gt;0.005,N(B171)-N(C171),"")</f>
      </c>
      <c r="E171" s="3">
        <v>0</v>
      </c>
      <c r="F171" s="2">
        <f>IF(N(F170)&gt;0.005,MAX(0,N(F170)-N(D171)-N(E171)),"")</f>
      </c>
    </row>
    <row r="172">
      <c r="A172" s="1">
        <f>IF(N(F171)&gt;0.005,162,"")</f>
      </c>
      <c r="B172" s="2">
        <f>IF(N(F171)&gt;0.005,MIN($B$7,N(F171)*(1+$B$5/12)),"")</f>
      </c>
      <c r="C172" s="2">
        <f>IF(N(F171)&gt;0.005,N(F171)*$B$5/12,"")</f>
      </c>
      <c r="D172" s="2">
        <f>IF(N(F171)&gt;0.005,N(B172)-N(C172),"")</f>
      </c>
      <c r="E172" s="3">
        <v>0</v>
      </c>
      <c r="F172" s="2">
        <f>IF(N(F171)&gt;0.005,MAX(0,N(F171)-N(D172)-N(E172)),"")</f>
      </c>
    </row>
    <row r="173">
      <c r="A173" s="1">
        <f>IF(N(F172)&gt;0.005,163,"")</f>
      </c>
      <c r="B173" s="2">
        <f>IF(N(F172)&gt;0.005,MIN($B$7,N(F172)*(1+$B$5/12)),"")</f>
      </c>
      <c r="C173" s="2">
        <f>IF(N(F172)&gt;0.005,N(F172)*$B$5/12,"")</f>
      </c>
      <c r="D173" s="2">
        <f>IF(N(F172)&gt;0.005,N(B173)-N(C173),"")</f>
      </c>
      <c r="E173" s="3">
        <v>0</v>
      </c>
      <c r="F173" s="2">
        <f>IF(N(F172)&gt;0.005,MAX(0,N(F172)-N(D173)-N(E173)),"")</f>
      </c>
    </row>
    <row r="174">
      <c r="A174" s="1">
        <f>IF(N(F173)&gt;0.005,164,"")</f>
      </c>
      <c r="B174" s="2">
        <f>IF(N(F173)&gt;0.005,MIN($B$7,N(F173)*(1+$B$5/12)),"")</f>
      </c>
      <c r="C174" s="2">
        <f>IF(N(F173)&gt;0.005,N(F173)*$B$5/12,"")</f>
      </c>
      <c r="D174" s="2">
        <f>IF(N(F173)&gt;0.005,N(B174)-N(C174),"")</f>
      </c>
      <c r="E174" s="3">
        <v>0</v>
      </c>
      <c r="F174" s="2">
        <f>IF(N(F173)&gt;0.005,MAX(0,N(F173)-N(D174)-N(E174)),"")</f>
      </c>
    </row>
    <row r="175">
      <c r="A175" s="1">
        <f>IF(N(F174)&gt;0.005,165,"")</f>
      </c>
      <c r="B175" s="2">
        <f>IF(N(F174)&gt;0.005,MIN($B$7,N(F174)*(1+$B$5/12)),"")</f>
      </c>
      <c r="C175" s="2">
        <f>IF(N(F174)&gt;0.005,N(F174)*$B$5/12,"")</f>
      </c>
      <c r="D175" s="2">
        <f>IF(N(F174)&gt;0.005,N(B175)-N(C175),"")</f>
      </c>
      <c r="E175" s="3">
        <v>0</v>
      </c>
      <c r="F175" s="2">
        <f>IF(N(F174)&gt;0.005,MAX(0,N(F174)-N(D175)-N(E175)),"")</f>
      </c>
    </row>
    <row r="176">
      <c r="A176" s="1">
        <f>IF(N(F175)&gt;0.005,166,"")</f>
      </c>
      <c r="B176" s="2">
        <f>IF(N(F175)&gt;0.005,MIN($B$7,N(F175)*(1+$B$5/12)),"")</f>
      </c>
      <c r="C176" s="2">
        <f>IF(N(F175)&gt;0.005,N(F175)*$B$5/12,"")</f>
      </c>
      <c r="D176" s="2">
        <f>IF(N(F175)&gt;0.005,N(B176)-N(C176),"")</f>
      </c>
      <c r="E176" s="3">
        <v>0</v>
      </c>
      <c r="F176" s="2">
        <f>IF(N(F175)&gt;0.005,MAX(0,N(F175)-N(D176)-N(E176)),"")</f>
      </c>
    </row>
    <row r="177">
      <c r="A177" s="1">
        <f>IF(N(F176)&gt;0.005,167,"")</f>
      </c>
      <c r="B177" s="2">
        <f>IF(N(F176)&gt;0.005,MIN($B$7,N(F176)*(1+$B$5/12)),"")</f>
      </c>
      <c r="C177" s="2">
        <f>IF(N(F176)&gt;0.005,N(F176)*$B$5/12,"")</f>
      </c>
      <c r="D177" s="2">
        <f>IF(N(F176)&gt;0.005,N(B177)-N(C177),"")</f>
      </c>
      <c r="E177" s="3">
        <v>0</v>
      </c>
      <c r="F177" s="2">
        <f>IF(N(F176)&gt;0.005,MAX(0,N(F176)-N(D177)-N(E177)),"")</f>
      </c>
    </row>
    <row r="178">
      <c r="A178" s="1">
        <f>IF(N(F177)&gt;0.005,168,"")</f>
      </c>
      <c r="B178" s="2">
        <f>IF(N(F177)&gt;0.005,MIN($B$7,N(F177)*(1+$B$5/12)),"")</f>
      </c>
      <c r="C178" s="2">
        <f>IF(N(F177)&gt;0.005,N(F177)*$B$5/12,"")</f>
      </c>
      <c r="D178" s="2">
        <f>IF(N(F177)&gt;0.005,N(B178)-N(C178),"")</f>
      </c>
      <c r="E178" s="3">
        <v>0</v>
      </c>
      <c r="F178" s="2">
        <f>IF(N(F177)&gt;0.005,MAX(0,N(F177)-N(D178)-N(E178)),"")</f>
      </c>
    </row>
    <row r="179">
      <c r="A179" s="1">
        <f>IF(N(F178)&gt;0.005,169,"")</f>
      </c>
      <c r="B179" s="2">
        <f>IF(N(F178)&gt;0.005,MIN($B$7,N(F178)*(1+$B$5/12)),"")</f>
      </c>
      <c r="C179" s="2">
        <f>IF(N(F178)&gt;0.005,N(F178)*$B$5/12,"")</f>
      </c>
      <c r="D179" s="2">
        <f>IF(N(F178)&gt;0.005,N(B179)-N(C179),"")</f>
      </c>
      <c r="E179" s="3">
        <v>0</v>
      </c>
      <c r="F179" s="2">
        <f>IF(N(F178)&gt;0.005,MAX(0,N(F178)-N(D179)-N(E179)),"")</f>
      </c>
    </row>
    <row r="180">
      <c r="A180" s="1">
        <f>IF(N(F179)&gt;0.005,170,"")</f>
      </c>
      <c r="B180" s="2">
        <f>IF(N(F179)&gt;0.005,MIN($B$7,N(F179)*(1+$B$5/12)),"")</f>
      </c>
      <c r="C180" s="2">
        <f>IF(N(F179)&gt;0.005,N(F179)*$B$5/12,"")</f>
      </c>
      <c r="D180" s="2">
        <f>IF(N(F179)&gt;0.005,N(B180)-N(C180),"")</f>
      </c>
      <c r="E180" s="3">
        <v>0</v>
      </c>
      <c r="F180" s="2">
        <f>IF(N(F179)&gt;0.005,MAX(0,N(F179)-N(D180)-N(E180)),"")</f>
      </c>
    </row>
    <row r="181">
      <c r="A181" s="1">
        <f>IF(N(F180)&gt;0.005,171,"")</f>
      </c>
      <c r="B181" s="2">
        <f>IF(N(F180)&gt;0.005,MIN($B$7,N(F180)*(1+$B$5/12)),"")</f>
      </c>
      <c r="C181" s="2">
        <f>IF(N(F180)&gt;0.005,N(F180)*$B$5/12,"")</f>
      </c>
      <c r="D181" s="2">
        <f>IF(N(F180)&gt;0.005,N(B181)-N(C181),"")</f>
      </c>
      <c r="E181" s="3">
        <v>0</v>
      </c>
      <c r="F181" s="2">
        <f>IF(N(F180)&gt;0.005,MAX(0,N(F180)-N(D181)-N(E181)),"")</f>
      </c>
    </row>
    <row r="182">
      <c r="A182" s="1">
        <f>IF(N(F181)&gt;0.005,172,"")</f>
      </c>
      <c r="B182" s="2">
        <f>IF(N(F181)&gt;0.005,MIN($B$7,N(F181)*(1+$B$5/12)),"")</f>
      </c>
      <c r="C182" s="2">
        <f>IF(N(F181)&gt;0.005,N(F181)*$B$5/12,"")</f>
      </c>
      <c r="D182" s="2">
        <f>IF(N(F181)&gt;0.005,N(B182)-N(C182),"")</f>
      </c>
      <c r="E182" s="3">
        <v>0</v>
      </c>
      <c r="F182" s="2">
        <f>IF(N(F181)&gt;0.005,MAX(0,N(F181)-N(D182)-N(E182)),"")</f>
      </c>
    </row>
    <row r="183">
      <c r="A183" s="1">
        <f>IF(N(F182)&gt;0.005,173,"")</f>
      </c>
      <c r="B183" s="2">
        <f>IF(N(F182)&gt;0.005,MIN($B$7,N(F182)*(1+$B$5/12)),"")</f>
      </c>
      <c r="C183" s="2">
        <f>IF(N(F182)&gt;0.005,N(F182)*$B$5/12,"")</f>
      </c>
      <c r="D183" s="2">
        <f>IF(N(F182)&gt;0.005,N(B183)-N(C183),"")</f>
      </c>
      <c r="E183" s="3">
        <v>0</v>
      </c>
      <c r="F183" s="2">
        <f>IF(N(F182)&gt;0.005,MAX(0,N(F182)-N(D183)-N(E183)),"")</f>
      </c>
    </row>
    <row r="184">
      <c r="A184" s="1">
        <f>IF(N(F183)&gt;0.005,174,"")</f>
      </c>
      <c r="B184" s="2">
        <f>IF(N(F183)&gt;0.005,MIN($B$7,N(F183)*(1+$B$5/12)),"")</f>
      </c>
      <c r="C184" s="2">
        <f>IF(N(F183)&gt;0.005,N(F183)*$B$5/12,"")</f>
      </c>
      <c r="D184" s="2">
        <f>IF(N(F183)&gt;0.005,N(B184)-N(C184),"")</f>
      </c>
      <c r="E184" s="3">
        <v>0</v>
      </c>
      <c r="F184" s="2">
        <f>IF(N(F183)&gt;0.005,MAX(0,N(F183)-N(D184)-N(E184)),"")</f>
      </c>
    </row>
    <row r="185">
      <c r="A185" s="1">
        <f>IF(N(F184)&gt;0.005,175,"")</f>
      </c>
      <c r="B185" s="2">
        <f>IF(N(F184)&gt;0.005,MIN($B$7,N(F184)*(1+$B$5/12)),"")</f>
      </c>
      <c r="C185" s="2">
        <f>IF(N(F184)&gt;0.005,N(F184)*$B$5/12,"")</f>
      </c>
      <c r="D185" s="2">
        <f>IF(N(F184)&gt;0.005,N(B185)-N(C185),"")</f>
      </c>
      <c r="E185" s="3">
        <v>0</v>
      </c>
      <c r="F185" s="2">
        <f>IF(N(F184)&gt;0.005,MAX(0,N(F184)-N(D185)-N(E185)),"")</f>
      </c>
    </row>
    <row r="186">
      <c r="A186" s="1">
        <f>IF(N(F185)&gt;0.005,176,"")</f>
      </c>
      <c r="B186" s="2">
        <f>IF(N(F185)&gt;0.005,MIN($B$7,N(F185)*(1+$B$5/12)),"")</f>
      </c>
      <c r="C186" s="2">
        <f>IF(N(F185)&gt;0.005,N(F185)*$B$5/12,"")</f>
      </c>
      <c r="D186" s="2">
        <f>IF(N(F185)&gt;0.005,N(B186)-N(C186),"")</f>
      </c>
      <c r="E186" s="3">
        <v>0</v>
      </c>
      <c r="F186" s="2">
        <f>IF(N(F185)&gt;0.005,MAX(0,N(F185)-N(D186)-N(E186)),"")</f>
      </c>
    </row>
    <row r="187">
      <c r="A187" s="1">
        <f>IF(N(F186)&gt;0.005,177,"")</f>
      </c>
      <c r="B187" s="2">
        <f>IF(N(F186)&gt;0.005,MIN($B$7,N(F186)*(1+$B$5/12)),"")</f>
      </c>
      <c r="C187" s="2">
        <f>IF(N(F186)&gt;0.005,N(F186)*$B$5/12,"")</f>
      </c>
      <c r="D187" s="2">
        <f>IF(N(F186)&gt;0.005,N(B187)-N(C187),"")</f>
      </c>
      <c r="E187" s="3">
        <v>0</v>
      </c>
      <c r="F187" s="2">
        <f>IF(N(F186)&gt;0.005,MAX(0,N(F186)-N(D187)-N(E187)),"")</f>
      </c>
    </row>
    <row r="188">
      <c r="A188" s="1">
        <f>IF(N(F187)&gt;0.005,178,"")</f>
      </c>
      <c r="B188" s="2">
        <f>IF(N(F187)&gt;0.005,MIN($B$7,N(F187)*(1+$B$5/12)),"")</f>
      </c>
      <c r="C188" s="2">
        <f>IF(N(F187)&gt;0.005,N(F187)*$B$5/12,"")</f>
      </c>
      <c r="D188" s="2">
        <f>IF(N(F187)&gt;0.005,N(B188)-N(C188),"")</f>
      </c>
      <c r="E188" s="3">
        <v>0</v>
      </c>
      <c r="F188" s="2">
        <f>IF(N(F187)&gt;0.005,MAX(0,N(F187)-N(D188)-N(E188)),"")</f>
      </c>
    </row>
    <row r="189">
      <c r="A189" s="1">
        <f>IF(N(F188)&gt;0.005,179,"")</f>
      </c>
      <c r="B189" s="2">
        <f>IF(N(F188)&gt;0.005,MIN($B$7,N(F188)*(1+$B$5/12)),"")</f>
      </c>
      <c r="C189" s="2">
        <f>IF(N(F188)&gt;0.005,N(F188)*$B$5/12,"")</f>
      </c>
      <c r="D189" s="2">
        <f>IF(N(F188)&gt;0.005,N(B189)-N(C189),"")</f>
      </c>
      <c r="E189" s="3">
        <v>0</v>
      </c>
      <c r="F189" s="2">
        <f>IF(N(F188)&gt;0.005,MAX(0,N(F188)-N(D189)-N(E189)),"")</f>
      </c>
    </row>
    <row r="190">
      <c r="A190" s="1">
        <f>IF(N(F189)&gt;0.005,180,"")</f>
      </c>
      <c r="B190" s="2">
        <f>IF(N(F189)&gt;0.005,MIN($B$7,N(F189)*(1+$B$5/12)),"")</f>
      </c>
      <c r="C190" s="2">
        <f>IF(N(F189)&gt;0.005,N(F189)*$B$5/12,"")</f>
      </c>
      <c r="D190" s="2">
        <f>IF(N(F189)&gt;0.005,N(B190)-N(C190),"")</f>
      </c>
      <c r="E190" s="3">
        <v>0</v>
      </c>
      <c r="F190" s="2">
        <f>IF(N(F189)&gt;0.005,MAX(0,N(F189)-N(D190)-N(E190)),"")</f>
      </c>
    </row>
    <row r="191">
      <c r="A191" s="1">
        <f>IF(N(F190)&gt;0.005,181,"")</f>
      </c>
      <c r="B191" s="2">
        <f>IF(N(F190)&gt;0.005,MIN($B$7,N(F190)*(1+$B$5/12)),"")</f>
      </c>
      <c r="C191" s="2">
        <f>IF(N(F190)&gt;0.005,N(F190)*$B$5/12,"")</f>
      </c>
      <c r="D191" s="2">
        <f>IF(N(F190)&gt;0.005,N(B191)-N(C191),"")</f>
      </c>
      <c r="E191" s="3">
        <v>0</v>
      </c>
      <c r="F191" s="2">
        <f>IF(N(F190)&gt;0.005,MAX(0,N(F190)-N(D191)-N(E191)),"")</f>
      </c>
    </row>
    <row r="192">
      <c r="A192" s="1">
        <f>IF(N(F191)&gt;0.005,182,"")</f>
      </c>
      <c r="B192" s="2">
        <f>IF(N(F191)&gt;0.005,MIN($B$7,N(F191)*(1+$B$5/12)),"")</f>
      </c>
      <c r="C192" s="2">
        <f>IF(N(F191)&gt;0.005,N(F191)*$B$5/12,"")</f>
      </c>
      <c r="D192" s="2">
        <f>IF(N(F191)&gt;0.005,N(B192)-N(C192),"")</f>
      </c>
      <c r="E192" s="3">
        <v>0</v>
      </c>
      <c r="F192" s="2">
        <f>IF(N(F191)&gt;0.005,MAX(0,N(F191)-N(D192)-N(E192)),"")</f>
      </c>
    </row>
    <row r="193">
      <c r="A193" s="1">
        <f>IF(N(F192)&gt;0.005,183,"")</f>
      </c>
      <c r="B193" s="2">
        <f>IF(N(F192)&gt;0.005,MIN($B$7,N(F192)*(1+$B$5/12)),"")</f>
      </c>
      <c r="C193" s="2">
        <f>IF(N(F192)&gt;0.005,N(F192)*$B$5/12,"")</f>
      </c>
      <c r="D193" s="2">
        <f>IF(N(F192)&gt;0.005,N(B193)-N(C193),"")</f>
      </c>
      <c r="E193" s="3">
        <v>0</v>
      </c>
      <c r="F193" s="2">
        <f>IF(N(F192)&gt;0.005,MAX(0,N(F192)-N(D193)-N(E193)),"")</f>
      </c>
    </row>
    <row r="194">
      <c r="A194" s="1">
        <f>IF(N(F193)&gt;0.005,184,"")</f>
      </c>
      <c r="B194" s="2">
        <f>IF(N(F193)&gt;0.005,MIN($B$7,N(F193)*(1+$B$5/12)),"")</f>
      </c>
      <c r="C194" s="2">
        <f>IF(N(F193)&gt;0.005,N(F193)*$B$5/12,"")</f>
      </c>
      <c r="D194" s="2">
        <f>IF(N(F193)&gt;0.005,N(B194)-N(C194),"")</f>
      </c>
      <c r="E194" s="3">
        <v>0</v>
      </c>
      <c r="F194" s="2">
        <f>IF(N(F193)&gt;0.005,MAX(0,N(F193)-N(D194)-N(E194)),"")</f>
      </c>
    </row>
    <row r="195">
      <c r="A195" s="1">
        <f>IF(N(F194)&gt;0.005,185,"")</f>
      </c>
      <c r="B195" s="2">
        <f>IF(N(F194)&gt;0.005,MIN($B$7,N(F194)*(1+$B$5/12)),"")</f>
      </c>
      <c r="C195" s="2">
        <f>IF(N(F194)&gt;0.005,N(F194)*$B$5/12,"")</f>
      </c>
      <c r="D195" s="2">
        <f>IF(N(F194)&gt;0.005,N(B195)-N(C195),"")</f>
      </c>
      <c r="E195" s="3">
        <v>0</v>
      </c>
      <c r="F195" s="2">
        <f>IF(N(F194)&gt;0.005,MAX(0,N(F194)-N(D195)-N(E195)),"")</f>
      </c>
    </row>
    <row r="196">
      <c r="A196" s="1">
        <f>IF(N(F195)&gt;0.005,186,"")</f>
      </c>
      <c r="B196" s="2">
        <f>IF(N(F195)&gt;0.005,MIN($B$7,N(F195)*(1+$B$5/12)),"")</f>
      </c>
      <c r="C196" s="2">
        <f>IF(N(F195)&gt;0.005,N(F195)*$B$5/12,"")</f>
      </c>
      <c r="D196" s="2">
        <f>IF(N(F195)&gt;0.005,N(B196)-N(C196),"")</f>
      </c>
      <c r="E196" s="3">
        <v>0</v>
      </c>
      <c r="F196" s="2">
        <f>IF(N(F195)&gt;0.005,MAX(0,N(F195)-N(D196)-N(E196)),"")</f>
      </c>
    </row>
    <row r="197">
      <c r="A197" s="1">
        <f>IF(N(F196)&gt;0.005,187,"")</f>
      </c>
      <c r="B197" s="2">
        <f>IF(N(F196)&gt;0.005,MIN($B$7,N(F196)*(1+$B$5/12)),"")</f>
      </c>
      <c r="C197" s="2">
        <f>IF(N(F196)&gt;0.005,N(F196)*$B$5/12,"")</f>
      </c>
      <c r="D197" s="2">
        <f>IF(N(F196)&gt;0.005,N(B197)-N(C197),"")</f>
      </c>
      <c r="E197" s="3">
        <v>0</v>
      </c>
      <c r="F197" s="2">
        <f>IF(N(F196)&gt;0.005,MAX(0,N(F196)-N(D197)-N(E197)),"")</f>
      </c>
    </row>
    <row r="198">
      <c r="A198" s="1">
        <f>IF(N(F197)&gt;0.005,188,"")</f>
      </c>
      <c r="B198" s="2">
        <f>IF(N(F197)&gt;0.005,MIN($B$7,N(F197)*(1+$B$5/12)),"")</f>
      </c>
      <c r="C198" s="2">
        <f>IF(N(F197)&gt;0.005,N(F197)*$B$5/12,"")</f>
      </c>
      <c r="D198" s="2">
        <f>IF(N(F197)&gt;0.005,N(B198)-N(C198),"")</f>
      </c>
      <c r="E198" s="3">
        <v>0</v>
      </c>
      <c r="F198" s="2">
        <f>IF(N(F197)&gt;0.005,MAX(0,N(F197)-N(D198)-N(E198)),"")</f>
      </c>
    </row>
    <row r="199">
      <c r="A199" s="1">
        <f>IF(N(F198)&gt;0.005,189,"")</f>
      </c>
      <c r="B199" s="2">
        <f>IF(N(F198)&gt;0.005,MIN($B$7,N(F198)*(1+$B$5/12)),"")</f>
      </c>
      <c r="C199" s="2">
        <f>IF(N(F198)&gt;0.005,N(F198)*$B$5/12,"")</f>
      </c>
      <c r="D199" s="2">
        <f>IF(N(F198)&gt;0.005,N(B199)-N(C199),"")</f>
      </c>
      <c r="E199" s="3">
        <v>0</v>
      </c>
      <c r="F199" s="2">
        <f>IF(N(F198)&gt;0.005,MAX(0,N(F198)-N(D199)-N(E199)),"")</f>
      </c>
    </row>
    <row r="200">
      <c r="A200" s="1">
        <f>IF(N(F199)&gt;0.005,190,"")</f>
      </c>
      <c r="B200" s="2">
        <f>IF(N(F199)&gt;0.005,MIN($B$7,N(F199)*(1+$B$5/12)),"")</f>
      </c>
      <c r="C200" s="2">
        <f>IF(N(F199)&gt;0.005,N(F199)*$B$5/12,"")</f>
      </c>
      <c r="D200" s="2">
        <f>IF(N(F199)&gt;0.005,N(B200)-N(C200),"")</f>
      </c>
      <c r="E200" s="3">
        <v>0</v>
      </c>
      <c r="F200" s="2">
        <f>IF(N(F199)&gt;0.005,MAX(0,N(F199)-N(D200)-N(E200)),"")</f>
      </c>
    </row>
    <row r="201">
      <c r="A201" s="1">
        <f>IF(N(F200)&gt;0.005,191,"")</f>
      </c>
      <c r="B201" s="2">
        <f>IF(N(F200)&gt;0.005,MIN($B$7,N(F200)*(1+$B$5/12)),"")</f>
      </c>
      <c r="C201" s="2">
        <f>IF(N(F200)&gt;0.005,N(F200)*$B$5/12,"")</f>
      </c>
      <c r="D201" s="2">
        <f>IF(N(F200)&gt;0.005,N(B201)-N(C201),"")</f>
      </c>
      <c r="E201" s="3">
        <v>0</v>
      </c>
      <c r="F201" s="2">
        <f>IF(N(F200)&gt;0.005,MAX(0,N(F200)-N(D201)-N(E201)),"")</f>
      </c>
    </row>
    <row r="202">
      <c r="A202" s="1">
        <f>IF(N(F201)&gt;0.005,192,"")</f>
      </c>
      <c r="B202" s="2">
        <f>IF(N(F201)&gt;0.005,MIN($B$7,N(F201)*(1+$B$5/12)),"")</f>
      </c>
      <c r="C202" s="2">
        <f>IF(N(F201)&gt;0.005,N(F201)*$B$5/12,"")</f>
      </c>
      <c r="D202" s="2">
        <f>IF(N(F201)&gt;0.005,N(B202)-N(C202),"")</f>
      </c>
      <c r="E202" s="3">
        <v>0</v>
      </c>
      <c r="F202" s="2">
        <f>IF(N(F201)&gt;0.005,MAX(0,N(F201)-N(D202)-N(E202)),"")</f>
      </c>
    </row>
    <row r="203">
      <c r="A203" s="1">
        <f>IF(N(F202)&gt;0.005,193,"")</f>
      </c>
      <c r="B203" s="2">
        <f>IF(N(F202)&gt;0.005,MIN($B$7,N(F202)*(1+$B$5/12)),"")</f>
      </c>
      <c r="C203" s="2">
        <f>IF(N(F202)&gt;0.005,N(F202)*$B$5/12,"")</f>
      </c>
      <c r="D203" s="2">
        <f>IF(N(F202)&gt;0.005,N(B203)-N(C203),"")</f>
      </c>
      <c r="E203" s="3">
        <v>0</v>
      </c>
      <c r="F203" s="2">
        <f>IF(N(F202)&gt;0.005,MAX(0,N(F202)-N(D203)-N(E203)),"")</f>
      </c>
    </row>
    <row r="204">
      <c r="A204" s="1">
        <f>IF(N(F203)&gt;0.005,194,"")</f>
      </c>
      <c r="B204" s="2">
        <f>IF(N(F203)&gt;0.005,MIN($B$7,N(F203)*(1+$B$5/12)),"")</f>
      </c>
      <c r="C204" s="2">
        <f>IF(N(F203)&gt;0.005,N(F203)*$B$5/12,"")</f>
      </c>
      <c r="D204" s="2">
        <f>IF(N(F203)&gt;0.005,N(B204)-N(C204),"")</f>
      </c>
      <c r="E204" s="3">
        <v>0</v>
      </c>
      <c r="F204" s="2">
        <f>IF(N(F203)&gt;0.005,MAX(0,N(F203)-N(D204)-N(E204)),"")</f>
      </c>
    </row>
    <row r="205">
      <c r="A205" s="1">
        <f>IF(N(F204)&gt;0.005,195,"")</f>
      </c>
      <c r="B205" s="2">
        <f>IF(N(F204)&gt;0.005,MIN($B$7,N(F204)*(1+$B$5/12)),"")</f>
      </c>
      <c r="C205" s="2">
        <f>IF(N(F204)&gt;0.005,N(F204)*$B$5/12,"")</f>
      </c>
      <c r="D205" s="2">
        <f>IF(N(F204)&gt;0.005,N(B205)-N(C205),"")</f>
      </c>
      <c r="E205" s="3">
        <v>0</v>
      </c>
      <c r="F205" s="2">
        <f>IF(N(F204)&gt;0.005,MAX(0,N(F204)-N(D205)-N(E205)),"")</f>
      </c>
    </row>
    <row r="206">
      <c r="A206" s="1">
        <f>IF(N(F205)&gt;0.005,196,"")</f>
      </c>
      <c r="B206" s="2">
        <f>IF(N(F205)&gt;0.005,MIN($B$7,N(F205)*(1+$B$5/12)),"")</f>
      </c>
      <c r="C206" s="2">
        <f>IF(N(F205)&gt;0.005,N(F205)*$B$5/12,"")</f>
      </c>
      <c r="D206" s="2">
        <f>IF(N(F205)&gt;0.005,N(B206)-N(C206),"")</f>
      </c>
      <c r="E206" s="3">
        <v>0</v>
      </c>
      <c r="F206" s="2">
        <f>IF(N(F205)&gt;0.005,MAX(0,N(F205)-N(D206)-N(E206)),"")</f>
      </c>
    </row>
    <row r="207">
      <c r="A207" s="1">
        <f>IF(N(F206)&gt;0.005,197,"")</f>
      </c>
      <c r="B207" s="2">
        <f>IF(N(F206)&gt;0.005,MIN($B$7,N(F206)*(1+$B$5/12)),"")</f>
      </c>
      <c r="C207" s="2">
        <f>IF(N(F206)&gt;0.005,N(F206)*$B$5/12,"")</f>
      </c>
      <c r="D207" s="2">
        <f>IF(N(F206)&gt;0.005,N(B207)-N(C207),"")</f>
      </c>
      <c r="E207" s="3">
        <v>0</v>
      </c>
      <c r="F207" s="2">
        <f>IF(N(F206)&gt;0.005,MAX(0,N(F206)-N(D207)-N(E207)),"")</f>
      </c>
    </row>
    <row r="208">
      <c r="A208" s="1">
        <f>IF(N(F207)&gt;0.005,198,"")</f>
      </c>
      <c r="B208" s="2">
        <f>IF(N(F207)&gt;0.005,MIN($B$7,N(F207)*(1+$B$5/12)),"")</f>
      </c>
      <c r="C208" s="2">
        <f>IF(N(F207)&gt;0.005,N(F207)*$B$5/12,"")</f>
      </c>
      <c r="D208" s="2">
        <f>IF(N(F207)&gt;0.005,N(B208)-N(C208),"")</f>
      </c>
      <c r="E208" s="3">
        <v>0</v>
      </c>
      <c r="F208" s="2">
        <f>IF(N(F207)&gt;0.005,MAX(0,N(F207)-N(D208)-N(E208)),"")</f>
      </c>
    </row>
    <row r="209">
      <c r="A209" s="1">
        <f>IF(N(F208)&gt;0.005,199,"")</f>
      </c>
      <c r="B209" s="2">
        <f>IF(N(F208)&gt;0.005,MIN($B$7,N(F208)*(1+$B$5/12)),"")</f>
      </c>
      <c r="C209" s="2">
        <f>IF(N(F208)&gt;0.005,N(F208)*$B$5/12,"")</f>
      </c>
      <c r="D209" s="2">
        <f>IF(N(F208)&gt;0.005,N(B209)-N(C209),"")</f>
      </c>
      <c r="E209" s="3">
        <v>0</v>
      </c>
      <c r="F209" s="2">
        <f>IF(N(F208)&gt;0.005,MAX(0,N(F208)-N(D209)-N(E209)),"")</f>
      </c>
    </row>
    <row r="210">
      <c r="A210" s="1">
        <f>IF(N(F209)&gt;0.005,200,"")</f>
      </c>
      <c r="B210" s="2">
        <f>IF(N(F209)&gt;0.005,MIN($B$7,N(F209)*(1+$B$5/12)),"")</f>
      </c>
      <c r="C210" s="2">
        <f>IF(N(F209)&gt;0.005,N(F209)*$B$5/12,"")</f>
      </c>
      <c r="D210" s="2">
        <f>IF(N(F209)&gt;0.005,N(B210)-N(C210),"")</f>
      </c>
      <c r="E210" s="3">
        <v>0</v>
      </c>
      <c r="F210" s="2">
        <f>IF(N(F209)&gt;0.005,MAX(0,N(F209)-N(D210)-N(E210)),"")</f>
      </c>
    </row>
    <row r="211">
      <c r="A211" s="1">
        <f>IF(N(F210)&gt;0.005,201,"")</f>
      </c>
      <c r="B211" s="2">
        <f>IF(N(F210)&gt;0.005,MIN($B$7,N(F210)*(1+$B$5/12)),"")</f>
      </c>
      <c r="C211" s="2">
        <f>IF(N(F210)&gt;0.005,N(F210)*$B$5/12,"")</f>
      </c>
      <c r="D211" s="2">
        <f>IF(N(F210)&gt;0.005,N(B211)-N(C211),"")</f>
      </c>
      <c r="E211" s="3">
        <v>0</v>
      </c>
      <c r="F211" s="2">
        <f>IF(N(F210)&gt;0.005,MAX(0,N(F210)-N(D211)-N(E211)),"")</f>
      </c>
    </row>
    <row r="212">
      <c r="A212" s="1">
        <f>IF(N(F211)&gt;0.005,202,"")</f>
      </c>
      <c r="B212" s="2">
        <f>IF(N(F211)&gt;0.005,MIN($B$7,N(F211)*(1+$B$5/12)),"")</f>
      </c>
      <c r="C212" s="2">
        <f>IF(N(F211)&gt;0.005,N(F211)*$B$5/12,"")</f>
      </c>
      <c r="D212" s="2">
        <f>IF(N(F211)&gt;0.005,N(B212)-N(C212),"")</f>
      </c>
      <c r="E212" s="3">
        <v>0</v>
      </c>
      <c r="F212" s="2">
        <f>IF(N(F211)&gt;0.005,MAX(0,N(F211)-N(D212)-N(E212)),"")</f>
      </c>
    </row>
    <row r="213">
      <c r="A213" s="1">
        <f>IF(N(F212)&gt;0.005,203,"")</f>
      </c>
      <c r="B213" s="2">
        <f>IF(N(F212)&gt;0.005,MIN($B$7,N(F212)*(1+$B$5/12)),"")</f>
      </c>
      <c r="C213" s="2">
        <f>IF(N(F212)&gt;0.005,N(F212)*$B$5/12,"")</f>
      </c>
      <c r="D213" s="2">
        <f>IF(N(F212)&gt;0.005,N(B213)-N(C213),"")</f>
      </c>
      <c r="E213" s="3">
        <v>0</v>
      </c>
      <c r="F213" s="2">
        <f>IF(N(F212)&gt;0.005,MAX(0,N(F212)-N(D213)-N(E213)),"")</f>
      </c>
    </row>
    <row r="214">
      <c r="A214" s="1">
        <f>IF(N(F213)&gt;0.005,204,"")</f>
      </c>
      <c r="B214" s="2">
        <f>IF(N(F213)&gt;0.005,MIN($B$7,N(F213)*(1+$B$5/12)),"")</f>
      </c>
      <c r="C214" s="2">
        <f>IF(N(F213)&gt;0.005,N(F213)*$B$5/12,"")</f>
      </c>
      <c r="D214" s="2">
        <f>IF(N(F213)&gt;0.005,N(B214)-N(C214),"")</f>
      </c>
      <c r="E214" s="3">
        <v>0</v>
      </c>
      <c r="F214" s="2">
        <f>IF(N(F213)&gt;0.005,MAX(0,N(F213)-N(D214)-N(E214)),"")</f>
      </c>
    </row>
    <row r="215">
      <c r="A215" s="1">
        <f>IF(N(F214)&gt;0.005,205,"")</f>
      </c>
      <c r="B215" s="2">
        <f>IF(N(F214)&gt;0.005,MIN($B$7,N(F214)*(1+$B$5/12)),"")</f>
      </c>
      <c r="C215" s="2">
        <f>IF(N(F214)&gt;0.005,N(F214)*$B$5/12,"")</f>
      </c>
      <c r="D215" s="2">
        <f>IF(N(F214)&gt;0.005,N(B215)-N(C215),"")</f>
      </c>
      <c r="E215" s="3">
        <v>0</v>
      </c>
      <c r="F215" s="2">
        <f>IF(N(F214)&gt;0.005,MAX(0,N(F214)-N(D215)-N(E215)),"")</f>
      </c>
    </row>
    <row r="216">
      <c r="A216" s="1">
        <f>IF(N(F215)&gt;0.005,206,"")</f>
      </c>
      <c r="B216" s="2">
        <f>IF(N(F215)&gt;0.005,MIN($B$7,N(F215)*(1+$B$5/12)),"")</f>
      </c>
      <c r="C216" s="2">
        <f>IF(N(F215)&gt;0.005,N(F215)*$B$5/12,"")</f>
      </c>
      <c r="D216" s="2">
        <f>IF(N(F215)&gt;0.005,N(B216)-N(C216),"")</f>
      </c>
      <c r="E216" s="3">
        <v>0</v>
      </c>
      <c r="F216" s="2">
        <f>IF(N(F215)&gt;0.005,MAX(0,N(F215)-N(D216)-N(E216)),"")</f>
      </c>
    </row>
    <row r="217">
      <c r="A217" s="1">
        <f>IF(N(F216)&gt;0.005,207,"")</f>
      </c>
      <c r="B217" s="2">
        <f>IF(N(F216)&gt;0.005,MIN($B$7,N(F216)*(1+$B$5/12)),"")</f>
      </c>
      <c r="C217" s="2">
        <f>IF(N(F216)&gt;0.005,N(F216)*$B$5/12,"")</f>
      </c>
      <c r="D217" s="2">
        <f>IF(N(F216)&gt;0.005,N(B217)-N(C217),"")</f>
      </c>
      <c r="E217" s="3">
        <v>0</v>
      </c>
      <c r="F217" s="2">
        <f>IF(N(F216)&gt;0.005,MAX(0,N(F216)-N(D217)-N(E217)),"")</f>
      </c>
    </row>
    <row r="218">
      <c r="A218" s="1">
        <f>IF(N(F217)&gt;0.005,208,"")</f>
      </c>
      <c r="B218" s="2">
        <f>IF(N(F217)&gt;0.005,MIN($B$7,N(F217)*(1+$B$5/12)),"")</f>
      </c>
      <c r="C218" s="2">
        <f>IF(N(F217)&gt;0.005,N(F217)*$B$5/12,"")</f>
      </c>
      <c r="D218" s="2">
        <f>IF(N(F217)&gt;0.005,N(B218)-N(C218),"")</f>
      </c>
      <c r="E218" s="3">
        <v>0</v>
      </c>
      <c r="F218" s="2">
        <f>IF(N(F217)&gt;0.005,MAX(0,N(F217)-N(D218)-N(E218)),"")</f>
      </c>
    </row>
    <row r="219">
      <c r="A219" s="1">
        <f>IF(N(F218)&gt;0.005,209,"")</f>
      </c>
      <c r="B219" s="2">
        <f>IF(N(F218)&gt;0.005,MIN($B$7,N(F218)*(1+$B$5/12)),"")</f>
      </c>
      <c r="C219" s="2">
        <f>IF(N(F218)&gt;0.005,N(F218)*$B$5/12,"")</f>
      </c>
      <c r="D219" s="2">
        <f>IF(N(F218)&gt;0.005,N(B219)-N(C219),"")</f>
      </c>
      <c r="E219" s="3">
        <v>0</v>
      </c>
      <c r="F219" s="2">
        <f>IF(N(F218)&gt;0.005,MAX(0,N(F218)-N(D219)-N(E219)),"")</f>
      </c>
    </row>
    <row r="220">
      <c r="A220" s="1">
        <f>IF(N(F219)&gt;0.005,210,"")</f>
      </c>
      <c r="B220" s="2">
        <f>IF(N(F219)&gt;0.005,MIN($B$7,N(F219)*(1+$B$5/12)),"")</f>
      </c>
      <c r="C220" s="2">
        <f>IF(N(F219)&gt;0.005,N(F219)*$B$5/12,"")</f>
      </c>
      <c r="D220" s="2">
        <f>IF(N(F219)&gt;0.005,N(B220)-N(C220),"")</f>
      </c>
      <c r="E220" s="3">
        <v>0</v>
      </c>
      <c r="F220" s="2">
        <f>IF(N(F219)&gt;0.005,MAX(0,N(F219)-N(D220)-N(E220)),"")</f>
      </c>
    </row>
    <row r="221">
      <c r="A221" s="1">
        <f>IF(N(F220)&gt;0.005,211,"")</f>
      </c>
      <c r="B221" s="2">
        <f>IF(N(F220)&gt;0.005,MIN($B$7,N(F220)*(1+$B$5/12)),"")</f>
      </c>
      <c r="C221" s="2">
        <f>IF(N(F220)&gt;0.005,N(F220)*$B$5/12,"")</f>
      </c>
      <c r="D221" s="2">
        <f>IF(N(F220)&gt;0.005,N(B221)-N(C221),"")</f>
      </c>
      <c r="E221" s="3">
        <v>0</v>
      </c>
      <c r="F221" s="2">
        <f>IF(N(F220)&gt;0.005,MAX(0,N(F220)-N(D221)-N(E221)),"")</f>
      </c>
    </row>
    <row r="222">
      <c r="A222" s="1">
        <f>IF(N(F221)&gt;0.005,212,"")</f>
      </c>
      <c r="B222" s="2">
        <f>IF(N(F221)&gt;0.005,MIN($B$7,N(F221)*(1+$B$5/12)),"")</f>
      </c>
      <c r="C222" s="2">
        <f>IF(N(F221)&gt;0.005,N(F221)*$B$5/12,"")</f>
      </c>
      <c r="D222" s="2">
        <f>IF(N(F221)&gt;0.005,N(B222)-N(C222),"")</f>
      </c>
      <c r="E222" s="3">
        <v>0</v>
      </c>
      <c r="F222" s="2">
        <f>IF(N(F221)&gt;0.005,MAX(0,N(F221)-N(D222)-N(E222)),"")</f>
      </c>
    </row>
    <row r="223">
      <c r="A223" s="1">
        <f>IF(N(F222)&gt;0.005,213,"")</f>
      </c>
      <c r="B223" s="2">
        <f>IF(N(F222)&gt;0.005,MIN($B$7,N(F222)*(1+$B$5/12)),"")</f>
      </c>
      <c r="C223" s="2">
        <f>IF(N(F222)&gt;0.005,N(F222)*$B$5/12,"")</f>
      </c>
      <c r="D223" s="2">
        <f>IF(N(F222)&gt;0.005,N(B223)-N(C223),"")</f>
      </c>
      <c r="E223" s="3">
        <v>0</v>
      </c>
      <c r="F223" s="2">
        <f>IF(N(F222)&gt;0.005,MAX(0,N(F222)-N(D223)-N(E223)),"")</f>
      </c>
    </row>
    <row r="224">
      <c r="A224" s="1">
        <f>IF(N(F223)&gt;0.005,214,"")</f>
      </c>
      <c r="B224" s="2">
        <f>IF(N(F223)&gt;0.005,MIN($B$7,N(F223)*(1+$B$5/12)),"")</f>
      </c>
      <c r="C224" s="2">
        <f>IF(N(F223)&gt;0.005,N(F223)*$B$5/12,"")</f>
      </c>
      <c r="D224" s="2">
        <f>IF(N(F223)&gt;0.005,N(B224)-N(C224),"")</f>
      </c>
      <c r="E224" s="3">
        <v>0</v>
      </c>
      <c r="F224" s="2">
        <f>IF(N(F223)&gt;0.005,MAX(0,N(F223)-N(D224)-N(E224)),"")</f>
      </c>
    </row>
    <row r="225">
      <c r="A225" s="1">
        <f>IF(N(F224)&gt;0.005,215,"")</f>
      </c>
      <c r="B225" s="2">
        <f>IF(N(F224)&gt;0.005,MIN($B$7,N(F224)*(1+$B$5/12)),"")</f>
      </c>
      <c r="C225" s="2">
        <f>IF(N(F224)&gt;0.005,N(F224)*$B$5/12,"")</f>
      </c>
      <c r="D225" s="2">
        <f>IF(N(F224)&gt;0.005,N(B225)-N(C225),"")</f>
      </c>
      <c r="E225" s="3">
        <v>0</v>
      </c>
      <c r="F225" s="2">
        <f>IF(N(F224)&gt;0.005,MAX(0,N(F224)-N(D225)-N(E225)),"")</f>
      </c>
    </row>
    <row r="226">
      <c r="A226" s="1">
        <f>IF(N(F225)&gt;0.005,216,"")</f>
      </c>
      <c r="B226" s="2">
        <f>IF(N(F225)&gt;0.005,MIN($B$7,N(F225)*(1+$B$5/12)),"")</f>
      </c>
      <c r="C226" s="2">
        <f>IF(N(F225)&gt;0.005,N(F225)*$B$5/12,"")</f>
      </c>
      <c r="D226" s="2">
        <f>IF(N(F225)&gt;0.005,N(B226)-N(C226),"")</f>
      </c>
      <c r="E226" s="3">
        <v>0</v>
      </c>
      <c r="F226" s="2">
        <f>IF(N(F225)&gt;0.005,MAX(0,N(F225)-N(D226)-N(E226)),"")</f>
      </c>
    </row>
    <row r="227">
      <c r="A227" s="1">
        <f>IF(N(F226)&gt;0.005,217,"")</f>
      </c>
      <c r="B227" s="2">
        <f>IF(N(F226)&gt;0.005,MIN($B$7,N(F226)*(1+$B$5/12)),"")</f>
      </c>
      <c r="C227" s="2">
        <f>IF(N(F226)&gt;0.005,N(F226)*$B$5/12,"")</f>
      </c>
      <c r="D227" s="2">
        <f>IF(N(F226)&gt;0.005,N(B227)-N(C227),"")</f>
      </c>
      <c r="E227" s="3">
        <v>0</v>
      </c>
      <c r="F227" s="2">
        <f>IF(N(F226)&gt;0.005,MAX(0,N(F226)-N(D227)-N(E227)),"")</f>
      </c>
    </row>
    <row r="228">
      <c r="A228" s="1">
        <f>IF(N(F227)&gt;0.005,218,"")</f>
      </c>
      <c r="B228" s="2">
        <f>IF(N(F227)&gt;0.005,MIN($B$7,N(F227)*(1+$B$5/12)),"")</f>
      </c>
      <c r="C228" s="2">
        <f>IF(N(F227)&gt;0.005,N(F227)*$B$5/12,"")</f>
      </c>
      <c r="D228" s="2">
        <f>IF(N(F227)&gt;0.005,N(B228)-N(C228),"")</f>
      </c>
      <c r="E228" s="3">
        <v>0</v>
      </c>
      <c r="F228" s="2">
        <f>IF(N(F227)&gt;0.005,MAX(0,N(F227)-N(D228)-N(E228)),"")</f>
      </c>
    </row>
    <row r="229">
      <c r="A229" s="1">
        <f>IF(N(F228)&gt;0.005,219,"")</f>
      </c>
      <c r="B229" s="2">
        <f>IF(N(F228)&gt;0.005,MIN($B$7,N(F228)*(1+$B$5/12)),"")</f>
      </c>
      <c r="C229" s="2">
        <f>IF(N(F228)&gt;0.005,N(F228)*$B$5/12,"")</f>
      </c>
      <c r="D229" s="2">
        <f>IF(N(F228)&gt;0.005,N(B229)-N(C229),"")</f>
      </c>
      <c r="E229" s="3">
        <v>0</v>
      </c>
      <c r="F229" s="2">
        <f>IF(N(F228)&gt;0.005,MAX(0,N(F228)-N(D229)-N(E229)),"")</f>
      </c>
    </row>
    <row r="230">
      <c r="A230" s="1">
        <f>IF(N(F229)&gt;0.005,220,"")</f>
      </c>
      <c r="B230" s="2">
        <f>IF(N(F229)&gt;0.005,MIN($B$7,N(F229)*(1+$B$5/12)),"")</f>
      </c>
      <c r="C230" s="2">
        <f>IF(N(F229)&gt;0.005,N(F229)*$B$5/12,"")</f>
      </c>
      <c r="D230" s="2">
        <f>IF(N(F229)&gt;0.005,N(B230)-N(C230),"")</f>
      </c>
      <c r="E230" s="3">
        <v>0</v>
      </c>
      <c r="F230" s="2">
        <f>IF(N(F229)&gt;0.005,MAX(0,N(F229)-N(D230)-N(E230)),"")</f>
      </c>
    </row>
    <row r="231">
      <c r="A231" s="1">
        <f>IF(N(F230)&gt;0.005,221,"")</f>
      </c>
      <c r="B231" s="2">
        <f>IF(N(F230)&gt;0.005,MIN($B$7,N(F230)*(1+$B$5/12)),"")</f>
      </c>
      <c r="C231" s="2">
        <f>IF(N(F230)&gt;0.005,N(F230)*$B$5/12,"")</f>
      </c>
      <c r="D231" s="2">
        <f>IF(N(F230)&gt;0.005,N(B231)-N(C231),"")</f>
      </c>
      <c r="E231" s="3">
        <v>0</v>
      </c>
      <c r="F231" s="2">
        <f>IF(N(F230)&gt;0.005,MAX(0,N(F230)-N(D231)-N(E231)),"")</f>
      </c>
    </row>
    <row r="232">
      <c r="A232" s="1">
        <f>IF(N(F231)&gt;0.005,222,"")</f>
      </c>
      <c r="B232" s="2">
        <f>IF(N(F231)&gt;0.005,MIN($B$7,N(F231)*(1+$B$5/12)),"")</f>
      </c>
      <c r="C232" s="2">
        <f>IF(N(F231)&gt;0.005,N(F231)*$B$5/12,"")</f>
      </c>
      <c r="D232" s="2">
        <f>IF(N(F231)&gt;0.005,N(B232)-N(C232),"")</f>
      </c>
      <c r="E232" s="3">
        <v>0</v>
      </c>
      <c r="F232" s="2">
        <f>IF(N(F231)&gt;0.005,MAX(0,N(F231)-N(D232)-N(E232)),"")</f>
      </c>
    </row>
    <row r="233">
      <c r="A233" s="1">
        <f>IF(N(F232)&gt;0.005,223,"")</f>
      </c>
      <c r="B233" s="2">
        <f>IF(N(F232)&gt;0.005,MIN($B$7,N(F232)*(1+$B$5/12)),"")</f>
      </c>
      <c r="C233" s="2">
        <f>IF(N(F232)&gt;0.005,N(F232)*$B$5/12,"")</f>
      </c>
      <c r="D233" s="2">
        <f>IF(N(F232)&gt;0.005,N(B233)-N(C233),"")</f>
      </c>
      <c r="E233" s="3">
        <v>0</v>
      </c>
      <c r="F233" s="2">
        <f>IF(N(F232)&gt;0.005,MAX(0,N(F232)-N(D233)-N(E233)),"")</f>
      </c>
    </row>
    <row r="234">
      <c r="A234" s="1">
        <f>IF(N(F233)&gt;0.005,224,"")</f>
      </c>
      <c r="B234" s="2">
        <f>IF(N(F233)&gt;0.005,MIN($B$7,N(F233)*(1+$B$5/12)),"")</f>
      </c>
      <c r="C234" s="2">
        <f>IF(N(F233)&gt;0.005,N(F233)*$B$5/12,"")</f>
      </c>
      <c r="D234" s="2">
        <f>IF(N(F233)&gt;0.005,N(B234)-N(C234),"")</f>
      </c>
      <c r="E234" s="3">
        <v>0</v>
      </c>
      <c r="F234" s="2">
        <f>IF(N(F233)&gt;0.005,MAX(0,N(F233)-N(D234)-N(E234)),"")</f>
      </c>
    </row>
    <row r="235">
      <c r="A235" s="1">
        <f>IF(N(F234)&gt;0.005,225,"")</f>
      </c>
      <c r="B235" s="2">
        <f>IF(N(F234)&gt;0.005,MIN($B$7,N(F234)*(1+$B$5/12)),"")</f>
      </c>
      <c r="C235" s="2">
        <f>IF(N(F234)&gt;0.005,N(F234)*$B$5/12,"")</f>
      </c>
      <c r="D235" s="2">
        <f>IF(N(F234)&gt;0.005,N(B235)-N(C235),"")</f>
      </c>
      <c r="E235" s="3">
        <v>0</v>
      </c>
      <c r="F235" s="2">
        <f>IF(N(F234)&gt;0.005,MAX(0,N(F234)-N(D235)-N(E235)),"")</f>
      </c>
    </row>
    <row r="236">
      <c r="A236" s="1">
        <f>IF(N(F235)&gt;0.005,226,"")</f>
      </c>
      <c r="B236" s="2">
        <f>IF(N(F235)&gt;0.005,MIN($B$7,N(F235)*(1+$B$5/12)),"")</f>
      </c>
      <c r="C236" s="2">
        <f>IF(N(F235)&gt;0.005,N(F235)*$B$5/12,"")</f>
      </c>
      <c r="D236" s="2">
        <f>IF(N(F235)&gt;0.005,N(B236)-N(C236),"")</f>
      </c>
      <c r="E236" s="3">
        <v>0</v>
      </c>
      <c r="F236" s="2">
        <f>IF(N(F235)&gt;0.005,MAX(0,N(F235)-N(D236)-N(E236)),"")</f>
      </c>
    </row>
    <row r="237">
      <c r="A237" s="1">
        <f>IF(N(F236)&gt;0.005,227,"")</f>
      </c>
      <c r="B237" s="2">
        <f>IF(N(F236)&gt;0.005,MIN($B$7,N(F236)*(1+$B$5/12)),"")</f>
      </c>
      <c r="C237" s="2">
        <f>IF(N(F236)&gt;0.005,N(F236)*$B$5/12,"")</f>
      </c>
      <c r="D237" s="2">
        <f>IF(N(F236)&gt;0.005,N(B237)-N(C237),"")</f>
      </c>
      <c r="E237" s="3">
        <v>0</v>
      </c>
      <c r="F237" s="2">
        <f>IF(N(F236)&gt;0.005,MAX(0,N(F236)-N(D237)-N(E237)),"")</f>
      </c>
    </row>
    <row r="238">
      <c r="A238" s="1">
        <f>IF(N(F237)&gt;0.005,228,"")</f>
      </c>
      <c r="B238" s="2">
        <f>IF(N(F237)&gt;0.005,MIN($B$7,N(F237)*(1+$B$5/12)),"")</f>
      </c>
      <c r="C238" s="2">
        <f>IF(N(F237)&gt;0.005,N(F237)*$B$5/12,"")</f>
      </c>
      <c r="D238" s="2">
        <f>IF(N(F237)&gt;0.005,N(B238)-N(C238),"")</f>
      </c>
      <c r="E238" s="3">
        <v>0</v>
      </c>
      <c r="F238" s="2">
        <f>IF(N(F237)&gt;0.005,MAX(0,N(F237)-N(D238)-N(E238)),"")</f>
      </c>
    </row>
    <row r="239">
      <c r="A239" s="1">
        <f>IF(N(F238)&gt;0.005,229,"")</f>
      </c>
      <c r="B239" s="2">
        <f>IF(N(F238)&gt;0.005,MIN($B$7,N(F238)*(1+$B$5/12)),"")</f>
      </c>
      <c r="C239" s="2">
        <f>IF(N(F238)&gt;0.005,N(F238)*$B$5/12,"")</f>
      </c>
      <c r="D239" s="2">
        <f>IF(N(F238)&gt;0.005,N(B239)-N(C239),"")</f>
      </c>
      <c r="E239" s="3">
        <v>0</v>
      </c>
      <c r="F239" s="2">
        <f>IF(N(F238)&gt;0.005,MAX(0,N(F238)-N(D239)-N(E239)),"")</f>
      </c>
    </row>
    <row r="240">
      <c r="A240" s="1">
        <f>IF(N(F239)&gt;0.005,230,"")</f>
      </c>
      <c r="B240" s="2">
        <f>IF(N(F239)&gt;0.005,MIN($B$7,N(F239)*(1+$B$5/12)),"")</f>
      </c>
      <c r="C240" s="2">
        <f>IF(N(F239)&gt;0.005,N(F239)*$B$5/12,"")</f>
      </c>
      <c r="D240" s="2">
        <f>IF(N(F239)&gt;0.005,N(B240)-N(C240),"")</f>
      </c>
      <c r="E240" s="3">
        <v>0</v>
      </c>
      <c r="F240" s="2">
        <f>IF(N(F239)&gt;0.005,MAX(0,N(F239)-N(D240)-N(E240)),"")</f>
      </c>
    </row>
    <row r="241">
      <c r="A241" s="1">
        <f>IF(N(F240)&gt;0.005,231,"")</f>
      </c>
      <c r="B241" s="2">
        <f>IF(N(F240)&gt;0.005,MIN($B$7,N(F240)*(1+$B$5/12)),"")</f>
      </c>
      <c r="C241" s="2">
        <f>IF(N(F240)&gt;0.005,N(F240)*$B$5/12,"")</f>
      </c>
      <c r="D241" s="2">
        <f>IF(N(F240)&gt;0.005,N(B241)-N(C241),"")</f>
      </c>
      <c r="E241" s="3">
        <v>0</v>
      </c>
      <c r="F241" s="2">
        <f>IF(N(F240)&gt;0.005,MAX(0,N(F240)-N(D241)-N(E241)),"")</f>
      </c>
    </row>
    <row r="242">
      <c r="A242" s="1">
        <f>IF(N(F241)&gt;0.005,232,"")</f>
      </c>
      <c r="B242" s="2">
        <f>IF(N(F241)&gt;0.005,MIN($B$7,N(F241)*(1+$B$5/12)),"")</f>
      </c>
      <c r="C242" s="2">
        <f>IF(N(F241)&gt;0.005,N(F241)*$B$5/12,"")</f>
      </c>
      <c r="D242" s="2">
        <f>IF(N(F241)&gt;0.005,N(B242)-N(C242),"")</f>
      </c>
      <c r="E242" s="3">
        <v>0</v>
      </c>
      <c r="F242" s="2">
        <f>IF(N(F241)&gt;0.005,MAX(0,N(F241)-N(D242)-N(E242)),"")</f>
      </c>
    </row>
    <row r="243">
      <c r="A243" s="1">
        <f>IF(N(F242)&gt;0.005,233,"")</f>
      </c>
      <c r="B243" s="2">
        <f>IF(N(F242)&gt;0.005,MIN($B$7,N(F242)*(1+$B$5/12)),"")</f>
      </c>
      <c r="C243" s="2">
        <f>IF(N(F242)&gt;0.005,N(F242)*$B$5/12,"")</f>
      </c>
      <c r="D243" s="2">
        <f>IF(N(F242)&gt;0.005,N(B243)-N(C243),"")</f>
      </c>
      <c r="E243" s="3">
        <v>0</v>
      </c>
      <c r="F243" s="2">
        <f>IF(N(F242)&gt;0.005,MAX(0,N(F242)-N(D243)-N(E243)),"")</f>
      </c>
    </row>
    <row r="244">
      <c r="A244" s="1">
        <f>IF(N(F243)&gt;0.005,234,"")</f>
      </c>
      <c r="B244" s="2">
        <f>IF(N(F243)&gt;0.005,MIN($B$7,N(F243)*(1+$B$5/12)),"")</f>
      </c>
      <c r="C244" s="2">
        <f>IF(N(F243)&gt;0.005,N(F243)*$B$5/12,"")</f>
      </c>
      <c r="D244" s="2">
        <f>IF(N(F243)&gt;0.005,N(B244)-N(C244),"")</f>
      </c>
      <c r="E244" s="3">
        <v>0</v>
      </c>
      <c r="F244" s="2">
        <f>IF(N(F243)&gt;0.005,MAX(0,N(F243)-N(D244)-N(E244)),"")</f>
      </c>
    </row>
    <row r="245">
      <c r="A245" s="1">
        <f>IF(N(F244)&gt;0.005,235,"")</f>
      </c>
      <c r="B245" s="2">
        <f>IF(N(F244)&gt;0.005,MIN($B$7,N(F244)*(1+$B$5/12)),"")</f>
      </c>
      <c r="C245" s="2">
        <f>IF(N(F244)&gt;0.005,N(F244)*$B$5/12,"")</f>
      </c>
      <c r="D245" s="2">
        <f>IF(N(F244)&gt;0.005,N(B245)-N(C245),"")</f>
      </c>
      <c r="E245" s="3">
        <v>0</v>
      </c>
      <c r="F245" s="2">
        <f>IF(N(F244)&gt;0.005,MAX(0,N(F244)-N(D245)-N(E245)),"")</f>
      </c>
    </row>
    <row r="246">
      <c r="A246" s="1">
        <f>IF(N(F245)&gt;0.005,236,"")</f>
      </c>
      <c r="B246" s="2">
        <f>IF(N(F245)&gt;0.005,MIN($B$7,N(F245)*(1+$B$5/12)),"")</f>
      </c>
      <c r="C246" s="2">
        <f>IF(N(F245)&gt;0.005,N(F245)*$B$5/12,"")</f>
      </c>
      <c r="D246" s="2">
        <f>IF(N(F245)&gt;0.005,N(B246)-N(C246),"")</f>
      </c>
      <c r="E246" s="3">
        <v>0</v>
      </c>
      <c r="F246" s="2">
        <f>IF(N(F245)&gt;0.005,MAX(0,N(F245)-N(D246)-N(E246)),"")</f>
      </c>
    </row>
    <row r="247">
      <c r="A247" s="1">
        <f>IF(N(F246)&gt;0.005,237,"")</f>
      </c>
      <c r="B247" s="2">
        <f>IF(N(F246)&gt;0.005,MIN($B$7,N(F246)*(1+$B$5/12)),"")</f>
      </c>
      <c r="C247" s="2">
        <f>IF(N(F246)&gt;0.005,N(F246)*$B$5/12,"")</f>
      </c>
      <c r="D247" s="2">
        <f>IF(N(F246)&gt;0.005,N(B247)-N(C247),"")</f>
      </c>
      <c r="E247" s="3">
        <v>0</v>
      </c>
      <c r="F247" s="2">
        <f>IF(N(F246)&gt;0.005,MAX(0,N(F246)-N(D247)-N(E247)),"")</f>
      </c>
    </row>
    <row r="248">
      <c r="A248" s="1">
        <f>IF(N(F247)&gt;0.005,238,"")</f>
      </c>
      <c r="B248" s="2">
        <f>IF(N(F247)&gt;0.005,MIN($B$7,N(F247)*(1+$B$5/12)),"")</f>
      </c>
      <c r="C248" s="2">
        <f>IF(N(F247)&gt;0.005,N(F247)*$B$5/12,"")</f>
      </c>
      <c r="D248" s="2">
        <f>IF(N(F247)&gt;0.005,N(B248)-N(C248),"")</f>
      </c>
      <c r="E248" s="3">
        <v>0</v>
      </c>
      <c r="F248" s="2">
        <f>IF(N(F247)&gt;0.005,MAX(0,N(F247)-N(D248)-N(E248)),"")</f>
      </c>
    </row>
    <row r="249">
      <c r="A249" s="1">
        <f>IF(N(F248)&gt;0.005,239,"")</f>
      </c>
      <c r="B249" s="2">
        <f>IF(N(F248)&gt;0.005,MIN($B$7,N(F248)*(1+$B$5/12)),"")</f>
      </c>
      <c r="C249" s="2">
        <f>IF(N(F248)&gt;0.005,N(F248)*$B$5/12,"")</f>
      </c>
      <c r="D249" s="2">
        <f>IF(N(F248)&gt;0.005,N(B249)-N(C249),"")</f>
      </c>
      <c r="E249" s="3">
        <v>0</v>
      </c>
      <c r="F249" s="2">
        <f>IF(N(F248)&gt;0.005,MAX(0,N(F248)-N(D249)-N(E249)),"")</f>
      </c>
    </row>
    <row r="250">
      <c r="A250" s="1">
        <f>IF(N(F249)&gt;0.005,240,"")</f>
      </c>
      <c r="B250" s="2">
        <f>IF(N(F249)&gt;0.005,MIN($B$7,N(F249)*(1+$B$5/12)),"")</f>
      </c>
      <c r="C250" s="2">
        <f>IF(N(F249)&gt;0.005,N(F249)*$B$5/12,"")</f>
      </c>
      <c r="D250" s="2">
        <f>IF(N(F249)&gt;0.005,N(B250)-N(C250),"")</f>
      </c>
      <c r="E250" s="3">
        <v>0</v>
      </c>
      <c r="F250" s="2">
        <f>IF(N(F249)&gt;0.005,MAX(0,N(F249)-N(D250)-N(E250)),"")</f>
      </c>
    </row>
    <row r="251">
      <c r="A251" s="1">
        <f>IF(N(F250)&gt;0.005,241,"")</f>
      </c>
      <c r="B251" s="2">
        <f>IF(N(F250)&gt;0.005,MIN($B$7,N(F250)*(1+$B$5/12)),"")</f>
      </c>
      <c r="C251" s="2">
        <f>IF(N(F250)&gt;0.005,N(F250)*$B$5/12,"")</f>
      </c>
      <c r="D251" s="2">
        <f>IF(N(F250)&gt;0.005,N(B251)-N(C251),"")</f>
      </c>
      <c r="E251" s="3">
        <v>0</v>
      </c>
      <c r="F251" s="2">
        <f>IF(N(F250)&gt;0.005,MAX(0,N(F250)-N(D251)-N(E251)),"")</f>
      </c>
    </row>
    <row r="252">
      <c r="A252" s="1">
        <f>IF(N(F251)&gt;0.005,242,"")</f>
      </c>
      <c r="B252" s="2">
        <f>IF(N(F251)&gt;0.005,MIN($B$7,N(F251)*(1+$B$5/12)),"")</f>
      </c>
      <c r="C252" s="2">
        <f>IF(N(F251)&gt;0.005,N(F251)*$B$5/12,"")</f>
      </c>
      <c r="D252" s="2">
        <f>IF(N(F251)&gt;0.005,N(B252)-N(C252),"")</f>
      </c>
      <c r="E252" s="3">
        <v>0</v>
      </c>
      <c r="F252" s="2">
        <f>IF(N(F251)&gt;0.005,MAX(0,N(F251)-N(D252)-N(E252)),"")</f>
      </c>
    </row>
    <row r="253">
      <c r="A253" s="1">
        <f>IF(N(F252)&gt;0.005,243,"")</f>
      </c>
      <c r="B253" s="2">
        <f>IF(N(F252)&gt;0.005,MIN($B$7,N(F252)*(1+$B$5/12)),"")</f>
      </c>
      <c r="C253" s="2">
        <f>IF(N(F252)&gt;0.005,N(F252)*$B$5/12,"")</f>
      </c>
      <c r="D253" s="2">
        <f>IF(N(F252)&gt;0.005,N(B253)-N(C253),"")</f>
      </c>
      <c r="E253" s="3">
        <v>0</v>
      </c>
      <c r="F253" s="2">
        <f>IF(N(F252)&gt;0.005,MAX(0,N(F252)-N(D253)-N(E253)),"")</f>
      </c>
    </row>
    <row r="254">
      <c r="A254" s="1">
        <f>IF(N(F253)&gt;0.005,244,"")</f>
      </c>
      <c r="B254" s="2">
        <f>IF(N(F253)&gt;0.005,MIN($B$7,N(F253)*(1+$B$5/12)),"")</f>
      </c>
      <c r="C254" s="2">
        <f>IF(N(F253)&gt;0.005,N(F253)*$B$5/12,"")</f>
      </c>
      <c r="D254" s="2">
        <f>IF(N(F253)&gt;0.005,N(B254)-N(C254),"")</f>
      </c>
      <c r="E254" s="3">
        <v>0</v>
      </c>
      <c r="F254" s="2">
        <f>IF(N(F253)&gt;0.005,MAX(0,N(F253)-N(D254)-N(E254)),"")</f>
      </c>
    </row>
    <row r="255">
      <c r="A255" s="1">
        <f>IF(N(F254)&gt;0.005,245,"")</f>
      </c>
      <c r="B255" s="2">
        <f>IF(N(F254)&gt;0.005,MIN($B$7,N(F254)*(1+$B$5/12)),"")</f>
      </c>
      <c r="C255" s="2">
        <f>IF(N(F254)&gt;0.005,N(F254)*$B$5/12,"")</f>
      </c>
      <c r="D255" s="2">
        <f>IF(N(F254)&gt;0.005,N(B255)-N(C255),"")</f>
      </c>
      <c r="E255" s="3">
        <v>0</v>
      </c>
      <c r="F255" s="2">
        <f>IF(N(F254)&gt;0.005,MAX(0,N(F254)-N(D255)-N(E255)),"")</f>
      </c>
    </row>
    <row r="256">
      <c r="A256" s="1">
        <f>IF(N(F255)&gt;0.005,246,"")</f>
      </c>
      <c r="B256" s="2">
        <f>IF(N(F255)&gt;0.005,MIN($B$7,N(F255)*(1+$B$5/12)),"")</f>
      </c>
      <c r="C256" s="2">
        <f>IF(N(F255)&gt;0.005,N(F255)*$B$5/12,"")</f>
      </c>
      <c r="D256" s="2">
        <f>IF(N(F255)&gt;0.005,N(B256)-N(C256),"")</f>
      </c>
      <c r="E256" s="3">
        <v>0</v>
      </c>
      <c r="F256" s="2">
        <f>IF(N(F255)&gt;0.005,MAX(0,N(F255)-N(D256)-N(E256)),"")</f>
      </c>
    </row>
    <row r="257">
      <c r="A257" s="1">
        <f>IF(N(F256)&gt;0.005,247,"")</f>
      </c>
      <c r="B257" s="2">
        <f>IF(N(F256)&gt;0.005,MIN($B$7,N(F256)*(1+$B$5/12)),"")</f>
      </c>
      <c r="C257" s="2">
        <f>IF(N(F256)&gt;0.005,N(F256)*$B$5/12,"")</f>
      </c>
      <c r="D257" s="2">
        <f>IF(N(F256)&gt;0.005,N(B257)-N(C257),"")</f>
      </c>
      <c r="E257" s="3">
        <v>0</v>
      </c>
      <c r="F257" s="2">
        <f>IF(N(F256)&gt;0.005,MAX(0,N(F256)-N(D257)-N(E257)),"")</f>
      </c>
    </row>
    <row r="258">
      <c r="A258" s="1">
        <f>IF(N(F257)&gt;0.005,248,"")</f>
      </c>
      <c r="B258" s="2">
        <f>IF(N(F257)&gt;0.005,MIN($B$7,N(F257)*(1+$B$5/12)),"")</f>
      </c>
      <c r="C258" s="2">
        <f>IF(N(F257)&gt;0.005,N(F257)*$B$5/12,"")</f>
      </c>
      <c r="D258" s="2">
        <f>IF(N(F257)&gt;0.005,N(B258)-N(C258),"")</f>
      </c>
      <c r="E258" s="3">
        <v>0</v>
      </c>
      <c r="F258" s="2">
        <f>IF(N(F257)&gt;0.005,MAX(0,N(F257)-N(D258)-N(E258)),"")</f>
      </c>
    </row>
    <row r="259">
      <c r="A259" s="1">
        <f>IF(N(F258)&gt;0.005,249,"")</f>
      </c>
      <c r="B259" s="2">
        <f>IF(N(F258)&gt;0.005,MIN($B$7,N(F258)*(1+$B$5/12)),"")</f>
      </c>
      <c r="C259" s="2">
        <f>IF(N(F258)&gt;0.005,N(F258)*$B$5/12,"")</f>
      </c>
      <c r="D259" s="2">
        <f>IF(N(F258)&gt;0.005,N(B259)-N(C259),"")</f>
      </c>
      <c r="E259" s="3">
        <v>0</v>
      </c>
      <c r="F259" s="2">
        <f>IF(N(F258)&gt;0.005,MAX(0,N(F258)-N(D259)-N(E259)),"")</f>
      </c>
    </row>
    <row r="260">
      <c r="A260" s="1">
        <f>IF(N(F259)&gt;0.005,250,"")</f>
      </c>
      <c r="B260" s="2">
        <f>IF(N(F259)&gt;0.005,MIN($B$7,N(F259)*(1+$B$5/12)),"")</f>
      </c>
      <c r="C260" s="2">
        <f>IF(N(F259)&gt;0.005,N(F259)*$B$5/12,"")</f>
      </c>
      <c r="D260" s="2">
        <f>IF(N(F259)&gt;0.005,N(B260)-N(C260),"")</f>
      </c>
      <c r="E260" s="3">
        <v>0</v>
      </c>
      <c r="F260" s="2">
        <f>IF(N(F259)&gt;0.005,MAX(0,N(F259)-N(D260)-N(E260)),"")</f>
      </c>
    </row>
    <row r="261">
      <c r="A261" s="1">
        <f>IF(N(F260)&gt;0.005,251,"")</f>
      </c>
      <c r="B261" s="2">
        <f>IF(N(F260)&gt;0.005,MIN($B$7,N(F260)*(1+$B$5/12)),"")</f>
      </c>
      <c r="C261" s="2">
        <f>IF(N(F260)&gt;0.005,N(F260)*$B$5/12,"")</f>
      </c>
      <c r="D261" s="2">
        <f>IF(N(F260)&gt;0.005,N(B261)-N(C261),"")</f>
      </c>
      <c r="E261" s="3">
        <v>0</v>
      </c>
      <c r="F261" s="2">
        <f>IF(N(F260)&gt;0.005,MAX(0,N(F260)-N(D261)-N(E261)),"")</f>
      </c>
    </row>
    <row r="262">
      <c r="A262" s="1">
        <f>IF(N(F261)&gt;0.005,252,"")</f>
      </c>
      <c r="B262" s="2">
        <f>IF(N(F261)&gt;0.005,MIN($B$7,N(F261)*(1+$B$5/12)),"")</f>
      </c>
      <c r="C262" s="2">
        <f>IF(N(F261)&gt;0.005,N(F261)*$B$5/12,"")</f>
      </c>
      <c r="D262" s="2">
        <f>IF(N(F261)&gt;0.005,N(B262)-N(C262),"")</f>
      </c>
      <c r="E262" s="3">
        <v>0</v>
      </c>
      <c r="F262" s="2">
        <f>IF(N(F261)&gt;0.005,MAX(0,N(F261)-N(D262)-N(E262)),"")</f>
      </c>
    </row>
    <row r="263">
      <c r="A263" s="1">
        <f>IF(N(F262)&gt;0.005,253,"")</f>
      </c>
      <c r="B263" s="2">
        <f>IF(N(F262)&gt;0.005,MIN($B$7,N(F262)*(1+$B$5/12)),"")</f>
      </c>
      <c r="C263" s="2">
        <f>IF(N(F262)&gt;0.005,N(F262)*$B$5/12,"")</f>
      </c>
      <c r="D263" s="2">
        <f>IF(N(F262)&gt;0.005,N(B263)-N(C263),"")</f>
      </c>
      <c r="E263" s="3">
        <v>0</v>
      </c>
      <c r="F263" s="2">
        <f>IF(N(F262)&gt;0.005,MAX(0,N(F262)-N(D263)-N(E263)),"")</f>
      </c>
    </row>
    <row r="264">
      <c r="A264" s="1">
        <f>IF(N(F263)&gt;0.005,254,"")</f>
      </c>
      <c r="B264" s="2">
        <f>IF(N(F263)&gt;0.005,MIN($B$7,N(F263)*(1+$B$5/12)),"")</f>
      </c>
      <c r="C264" s="2">
        <f>IF(N(F263)&gt;0.005,N(F263)*$B$5/12,"")</f>
      </c>
      <c r="D264" s="2">
        <f>IF(N(F263)&gt;0.005,N(B264)-N(C264),"")</f>
      </c>
      <c r="E264" s="3">
        <v>0</v>
      </c>
      <c r="F264" s="2">
        <f>IF(N(F263)&gt;0.005,MAX(0,N(F263)-N(D264)-N(E264)),"")</f>
      </c>
    </row>
    <row r="265">
      <c r="A265" s="1">
        <f>IF(N(F264)&gt;0.005,255,"")</f>
      </c>
      <c r="B265" s="2">
        <f>IF(N(F264)&gt;0.005,MIN($B$7,N(F264)*(1+$B$5/12)),"")</f>
      </c>
      <c r="C265" s="2">
        <f>IF(N(F264)&gt;0.005,N(F264)*$B$5/12,"")</f>
      </c>
      <c r="D265" s="2">
        <f>IF(N(F264)&gt;0.005,N(B265)-N(C265),"")</f>
      </c>
      <c r="E265" s="3">
        <v>0</v>
      </c>
      <c r="F265" s="2">
        <f>IF(N(F264)&gt;0.005,MAX(0,N(F264)-N(D265)-N(E265)),"")</f>
      </c>
    </row>
    <row r="266">
      <c r="A266" s="1">
        <f>IF(N(F265)&gt;0.005,256,"")</f>
      </c>
      <c r="B266" s="2">
        <f>IF(N(F265)&gt;0.005,MIN($B$7,N(F265)*(1+$B$5/12)),"")</f>
      </c>
      <c r="C266" s="2">
        <f>IF(N(F265)&gt;0.005,N(F265)*$B$5/12,"")</f>
      </c>
      <c r="D266" s="2">
        <f>IF(N(F265)&gt;0.005,N(B266)-N(C266),"")</f>
      </c>
      <c r="E266" s="3">
        <v>0</v>
      </c>
      <c r="F266" s="2">
        <f>IF(N(F265)&gt;0.005,MAX(0,N(F265)-N(D266)-N(E266)),"")</f>
      </c>
    </row>
    <row r="267">
      <c r="A267" s="1">
        <f>IF(N(F266)&gt;0.005,257,"")</f>
      </c>
      <c r="B267" s="2">
        <f>IF(N(F266)&gt;0.005,MIN($B$7,N(F266)*(1+$B$5/12)),"")</f>
      </c>
      <c r="C267" s="2">
        <f>IF(N(F266)&gt;0.005,N(F266)*$B$5/12,"")</f>
      </c>
      <c r="D267" s="2">
        <f>IF(N(F266)&gt;0.005,N(B267)-N(C267),"")</f>
      </c>
      <c r="E267" s="3">
        <v>0</v>
      </c>
      <c r="F267" s="2">
        <f>IF(N(F266)&gt;0.005,MAX(0,N(F266)-N(D267)-N(E267)),"")</f>
      </c>
    </row>
    <row r="268">
      <c r="A268" s="1">
        <f>IF(N(F267)&gt;0.005,258,"")</f>
      </c>
      <c r="B268" s="2">
        <f>IF(N(F267)&gt;0.005,MIN($B$7,N(F267)*(1+$B$5/12)),"")</f>
      </c>
      <c r="C268" s="2">
        <f>IF(N(F267)&gt;0.005,N(F267)*$B$5/12,"")</f>
      </c>
      <c r="D268" s="2">
        <f>IF(N(F267)&gt;0.005,N(B268)-N(C268),"")</f>
      </c>
      <c r="E268" s="3">
        <v>0</v>
      </c>
      <c r="F268" s="2">
        <f>IF(N(F267)&gt;0.005,MAX(0,N(F267)-N(D268)-N(E268)),"")</f>
      </c>
    </row>
    <row r="269">
      <c r="A269" s="1">
        <f>IF(N(F268)&gt;0.005,259,"")</f>
      </c>
      <c r="B269" s="2">
        <f>IF(N(F268)&gt;0.005,MIN($B$7,N(F268)*(1+$B$5/12)),"")</f>
      </c>
      <c r="C269" s="2">
        <f>IF(N(F268)&gt;0.005,N(F268)*$B$5/12,"")</f>
      </c>
      <c r="D269" s="2">
        <f>IF(N(F268)&gt;0.005,N(B269)-N(C269),"")</f>
      </c>
      <c r="E269" s="3">
        <v>0</v>
      </c>
      <c r="F269" s="2">
        <f>IF(N(F268)&gt;0.005,MAX(0,N(F268)-N(D269)-N(E269)),"")</f>
      </c>
    </row>
    <row r="270">
      <c r="A270" s="1">
        <f>IF(N(F269)&gt;0.005,260,"")</f>
      </c>
      <c r="B270" s="2">
        <f>IF(N(F269)&gt;0.005,MIN($B$7,N(F269)*(1+$B$5/12)),"")</f>
      </c>
      <c r="C270" s="2">
        <f>IF(N(F269)&gt;0.005,N(F269)*$B$5/12,"")</f>
      </c>
      <c r="D270" s="2">
        <f>IF(N(F269)&gt;0.005,N(B270)-N(C270),"")</f>
      </c>
      <c r="E270" s="3">
        <v>0</v>
      </c>
      <c r="F270" s="2">
        <f>IF(N(F269)&gt;0.005,MAX(0,N(F269)-N(D270)-N(E270)),"")</f>
      </c>
    </row>
    <row r="271">
      <c r="A271" s="1">
        <f>IF(N(F270)&gt;0.005,261,"")</f>
      </c>
      <c r="B271" s="2">
        <f>IF(N(F270)&gt;0.005,MIN($B$7,N(F270)*(1+$B$5/12)),"")</f>
      </c>
      <c r="C271" s="2">
        <f>IF(N(F270)&gt;0.005,N(F270)*$B$5/12,"")</f>
      </c>
      <c r="D271" s="2">
        <f>IF(N(F270)&gt;0.005,N(B271)-N(C271),"")</f>
      </c>
      <c r="E271" s="3">
        <v>0</v>
      </c>
      <c r="F271" s="2">
        <f>IF(N(F270)&gt;0.005,MAX(0,N(F270)-N(D271)-N(E271)),"")</f>
      </c>
    </row>
    <row r="272">
      <c r="A272" s="1">
        <f>IF(N(F271)&gt;0.005,262,"")</f>
      </c>
      <c r="B272" s="2">
        <f>IF(N(F271)&gt;0.005,MIN($B$7,N(F271)*(1+$B$5/12)),"")</f>
      </c>
      <c r="C272" s="2">
        <f>IF(N(F271)&gt;0.005,N(F271)*$B$5/12,"")</f>
      </c>
      <c r="D272" s="2">
        <f>IF(N(F271)&gt;0.005,N(B272)-N(C272),"")</f>
      </c>
      <c r="E272" s="3">
        <v>0</v>
      </c>
      <c r="F272" s="2">
        <f>IF(N(F271)&gt;0.005,MAX(0,N(F271)-N(D272)-N(E272)),"")</f>
      </c>
    </row>
    <row r="273">
      <c r="A273" s="1">
        <f>IF(N(F272)&gt;0.005,263,"")</f>
      </c>
      <c r="B273" s="2">
        <f>IF(N(F272)&gt;0.005,MIN($B$7,N(F272)*(1+$B$5/12)),"")</f>
      </c>
      <c r="C273" s="2">
        <f>IF(N(F272)&gt;0.005,N(F272)*$B$5/12,"")</f>
      </c>
      <c r="D273" s="2">
        <f>IF(N(F272)&gt;0.005,N(B273)-N(C273),"")</f>
      </c>
      <c r="E273" s="3">
        <v>0</v>
      </c>
      <c r="F273" s="2">
        <f>IF(N(F272)&gt;0.005,MAX(0,N(F272)-N(D273)-N(E273)),"")</f>
      </c>
    </row>
    <row r="274">
      <c r="A274" s="1">
        <f>IF(N(F273)&gt;0.005,264,"")</f>
      </c>
      <c r="B274" s="2">
        <f>IF(N(F273)&gt;0.005,MIN($B$7,N(F273)*(1+$B$5/12)),"")</f>
      </c>
      <c r="C274" s="2">
        <f>IF(N(F273)&gt;0.005,N(F273)*$B$5/12,"")</f>
      </c>
      <c r="D274" s="2">
        <f>IF(N(F273)&gt;0.005,N(B274)-N(C274),"")</f>
      </c>
      <c r="E274" s="3">
        <v>0</v>
      </c>
      <c r="F274" s="2">
        <f>IF(N(F273)&gt;0.005,MAX(0,N(F273)-N(D274)-N(E274)),"")</f>
      </c>
    </row>
    <row r="275">
      <c r="A275" s="1">
        <f>IF(N(F274)&gt;0.005,265,"")</f>
      </c>
      <c r="B275" s="2">
        <f>IF(N(F274)&gt;0.005,MIN($B$7,N(F274)*(1+$B$5/12)),"")</f>
      </c>
      <c r="C275" s="2">
        <f>IF(N(F274)&gt;0.005,N(F274)*$B$5/12,"")</f>
      </c>
      <c r="D275" s="2">
        <f>IF(N(F274)&gt;0.005,N(B275)-N(C275),"")</f>
      </c>
      <c r="E275" s="3">
        <v>0</v>
      </c>
      <c r="F275" s="2">
        <f>IF(N(F274)&gt;0.005,MAX(0,N(F274)-N(D275)-N(E275)),"")</f>
      </c>
    </row>
    <row r="276">
      <c r="A276" s="1">
        <f>IF(N(F275)&gt;0.005,266,"")</f>
      </c>
      <c r="B276" s="2">
        <f>IF(N(F275)&gt;0.005,MIN($B$7,N(F275)*(1+$B$5/12)),"")</f>
      </c>
      <c r="C276" s="2">
        <f>IF(N(F275)&gt;0.005,N(F275)*$B$5/12,"")</f>
      </c>
      <c r="D276" s="2">
        <f>IF(N(F275)&gt;0.005,N(B276)-N(C276),"")</f>
      </c>
      <c r="E276" s="3">
        <v>0</v>
      </c>
      <c r="F276" s="2">
        <f>IF(N(F275)&gt;0.005,MAX(0,N(F275)-N(D276)-N(E276)),"")</f>
      </c>
    </row>
    <row r="277">
      <c r="A277" s="1">
        <f>IF(N(F276)&gt;0.005,267,"")</f>
      </c>
      <c r="B277" s="2">
        <f>IF(N(F276)&gt;0.005,MIN($B$7,N(F276)*(1+$B$5/12)),"")</f>
      </c>
      <c r="C277" s="2">
        <f>IF(N(F276)&gt;0.005,N(F276)*$B$5/12,"")</f>
      </c>
      <c r="D277" s="2">
        <f>IF(N(F276)&gt;0.005,N(B277)-N(C277),"")</f>
      </c>
      <c r="E277" s="3">
        <v>0</v>
      </c>
      <c r="F277" s="2">
        <f>IF(N(F276)&gt;0.005,MAX(0,N(F276)-N(D277)-N(E277)),"")</f>
      </c>
    </row>
    <row r="278">
      <c r="A278" s="1">
        <f>IF(N(F277)&gt;0.005,268,"")</f>
      </c>
      <c r="B278" s="2">
        <f>IF(N(F277)&gt;0.005,MIN($B$7,N(F277)*(1+$B$5/12)),"")</f>
      </c>
      <c r="C278" s="2">
        <f>IF(N(F277)&gt;0.005,N(F277)*$B$5/12,"")</f>
      </c>
      <c r="D278" s="2">
        <f>IF(N(F277)&gt;0.005,N(B278)-N(C278),"")</f>
      </c>
      <c r="E278" s="3">
        <v>0</v>
      </c>
      <c r="F278" s="2">
        <f>IF(N(F277)&gt;0.005,MAX(0,N(F277)-N(D278)-N(E278)),"")</f>
      </c>
    </row>
    <row r="279">
      <c r="A279" s="1">
        <f>IF(N(F278)&gt;0.005,269,"")</f>
      </c>
      <c r="B279" s="2">
        <f>IF(N(F278)&gt;0.005,MIN($B$7,N(F278)*(1+$B$5/12)),"")</f>
      </c>
      <c r="C279" s="2">
        <f>IF(N(F278)&gt;0.005,N(F278)*$B$5/12,"")</f>
      </c>
      <c r="D279" s="2">
        <f>IF(N(F278)&gt;0.005,N(B279)-N(C279),"")</f>
      </c>
      <c r="E279" s="3">
        <v>0</v>
      </c>
      <c r="F279" s="2">
        <f>IF(N(F278)&gt;0.005,MAX(0,N(F278)-N(D279)-N(E279)),"")</f>
      </c>
    </row>
    <row r="280">
      <c r="A280" s="1">
        <f>IF(N(F279)&gt;0.005,270,"")</f>
      </c>
      <c r="B280" s="2">
        <f>IF(N(F279)&gt;0.005,MIN($B$7,N(F279)*(1+$B$5/12)),"")</f>
      </c>
      <c r="C280" s="2">
        <f>IF(N(F279)&gt;0.005,N(F279)*$B$5/12,"")</f>
      </c>
      <c r="D280" s="2">
        <f>IF(N(F279)&gt;0.005,N(B280)-N(C280),"")</f>
      </c>
      <c r="E280" s="3">
        <v>0</v>
      </c>
      <c r="F280" s="2">
        <f>IF(N(F279)&gt;0.005,MAX(0,N(F279)-N(D280)-N(E280)),"")</f>
      </c>
    </row>
    <row r="281">
      <c r="A281" s="1">
        <f>IF(N(F280)&gt;0.005,271,"")</f>
      </c>
      <c r="B281" s="2">
        <f>IF(N(F280)&gt;0.005,MIN($B$7,N(F280)*(1+$B$5/12)),"")</f>
      </c>
      <c r="C281" s="2">
        <f>IF(N(F280)&gt;0.005,N(F280)*$B$5/12,"")</f>
      </c>
      <c r="D281" s="2">
        <f>IF(N(F280)&gt;0.005,N(B281)-N(C281),"")</f>
      </c>
      <c r="E281" s="3">
        <v>0</v>
      </c>
      <c r="F281" s="2">
        <f>IF(N(F280)&gt;0.005,MAX(0,N(F280)-N(D281)-N(E281)),"")</f>
      </c>
    </row>
    <row r="282">
      <c r="A282" s="1">
        <f>IF(N(F281)&gt;0.005,272,"")</f>
      </c>
      <c r="B282" s="2">
        <f>IF(N(F281)&gt;0.005,MIN($B$7,N(F281)*(1+$B$5/12)),"")</f>
      </c>
      <c r="C282" s="2">
        <f>IF(N(F281)&gt;0.005,N(F281)*$B$5/12,"")</f>
      </c>
      <c r="D282" s="2">
        <f>IF(N(F281)&gt;0.005,N(B282)-N(C282),"")</f>
      </c>
      <c r="E282" s="3">
        <v>0</v>
      </c>
      <c r="F282" s="2">
        <f>IF(N(F281)&gt;0.005,MAX(0,N(F281)-N(D282)-N(E282)),"")</f>
      </c>
    </row>
    <row r="283">
      <c r="A283" s="1">
        <f>IF(N(F282)&gt;0.005,273,"")</f>
      </c>
      <c r="B283" s="2">
        <f>IF(N(F282)&gt;0.005,MIN($B$7,N(F282)*(1+$B$5/12)),"")</f>
      </c>
      <c r="C283" s="2">
        <f>IF(N(F282)&gt;0.005,N(F282)*$B$5/12,"")</f>
      </c>
      <c r="D283" s="2">
        <f>IF(N(F282)&gt;0.005,N(B283)-N(C283),"")</f>
      </c>
      <c r="E283" s="3">
        <v>0</v>
      </c>
      <c r="F283" s="2">
        <f>IF(N(F282)&gt;0.005,MAX(0,N(F282)-N(D283)-N(E283)),"")</f>
      </c>
    </row>
    <row r="284">
      <c r="A284" s="1">
        <f>IF(N(F283)&gt;0.005,274,"")</f>
      </c>
      <c r="B284" s="2">
        <f>IF(N(F283)&gt;0.005,MIN($B$7,N(F283)*(1+$B$5/12)),"")</f>
      </c>
      <c r="C284" s="2">
        <f>IF(N(F283)&gt;0.005,N(F283)*$B$5/12,"")</f>
      </c>
      <c r="D284" s="2">
        <f>IF(N(F283)&gt;0.005,N(B284)-N(C284),"")</f>
      </c>
      <c r="E284" s="3">
        <v>0</v>
      </c>
      <c r="F284" s="2">
        <f>IF(N(F283)&gt;0.005,MAX(0,N(F283)-N(D284)-N(E284)),"")</f>
      </c>
    </row>
    <row r="285">
      <c r="A285" s="1">
        <f>IF(N(F284)&gt;0.005,275,"")</f>
      </c>
      <c r="B285" s="2">
        <f>IF(N(F284)&gt;0.005,MIN($B$7,N(F284)*(1+$B$5/12)),"")</f>
      </c>
      <c r="C285" s="2">
        <f>IF(N(F284)&gt;0.005,N(F284)*$B$5/12,"")</f>
      </c>
      <c r="D285" s="2">
        <f>IF(N(F284)&gt;0.005,N(B285)-N(C285),"")</f>
      </c>
      <c r="E285" s="3">
        <v>0</v>
      </c>
      <c r="F285" s="2">
        <f>IF(N(F284)&gt;0.005,MAX(0,N(F284)-N(D285)-N(E285)),"")</f>
      </c>
    </row>
    <row r="286">
      <c r="A286" s="1">
        <f>IF(N(F285)&gt;0.005,276,"")</f>
      </c>
      <c r="B286" s="2">
        <f>IF(N(F285)&gt;0.005,MIN($B$7,N(F285)*(1+$B$5/12)),"")</f>
      </c>
      <c r="C286" s="2">
        <f>IF(N(F285)&gt;0.005,N(F285)*$B$5/12,"")</f>
      </c>
      <c r="D286" s="2">
        <f>IF(N(F285)&gt;0.005,N(B286)-N(C286),"")</f>
      </c>
      <c r="E286" s="3">
        <v>0</v>
      </c>
      <c r="F286" s="2">
        <f>IF(N(F285)&gt;0.005,MAX(0,N(F285)-N(D286)-N(E286)),"")</f>
      </c>
    </row>
    <row r="287">
      <c r="A287" s="1">
        <f>IF(N(F286)&gt;0.005,277,"")</f>
      </c>
      <c r="B287" s="2">
        <f>IF(N(F286)&gt;0.005,MIN($B$7,N(F286)*(1+$B$5/12)),"")</f>
      </c>
      <c r="C287" s="2">
        <f>IF(N(F286)&gt;0.005,N(F286)*$B$5/12,"")</f>
      </c>
      <c r="D287" s="2">
        <f>IF(N(F286)&gt;0.005,N(B287)-N(C287),"")</f>
      </c>
      <c r="E287" s="3">
        <v>0</v>
      </c>
      <c r="F287" s="2">
        <f>IF(N(F286)&gt;0.005,MAX(0,N(F286)-N(D287)-N(E287)),"")</f>
      </c>
    </row>
    <row r="288">
      <c r="A288" s="1">
        <f>IF(N(F287)&gt;0.005,278,"")</f>
      </c>
      <c r="B288" s="2">
        <f>IF(N(F287)&gt;0.005,MIN($B$7,N(F287)*(1+$B$5/12)),"")</f>
      </c>
      <c r="C288" s="2">
        <f>IF(N(F287)&gt;0.005,N(F287)*$B$5/12,"")</f>
      </c>
      <c r="D288" s="2">
        <f>IF(N(F287)&gt;0.005,N(B288)-N(C288),"")</f>
      </c>
      <c r="E288" s="3">
        <v>0</v>
      </c>
      <c r="F288" s="2">
        <f>IF(N(F287)&gt;0.005,MAX(0,N(F287)-N(D288)-N(E288)),"")</f>
      </c>
    </row>
    <row r="289">
      <c r="A289" s="1">
        <f>IF(N(F288)&gt;0.005,279,"")</f>
      </c>
      <c r="B289" s="2">
        <f>IF(N(F288)&gt;0.005,MIN($B$7,N(F288)*(1+$B$5/12)),"")</f>
      </c>
      <c r="C289" s="2">
        <f>IF(N(F288)&gt;0.005,N(F288)*$B$5/12,"")</f>
      </c>
      <c r="D289" s="2">
        <f>IF(N(F288)&gt;0.005,N(B289)-N(C289),"")</f>
      </c>
      <c r="E289" s="3">
        <v>0</v>
      </c>
      <c r="F289" s="2">
        <f>IF(N(F288)&gt;0.005,MAX(0,N(F288)-N(D289)-N(E289)),"")</f>
      </c>
    </row>
    <row r="290">
      <c r="A290" s="1">
        <f>IF(N(F289)&gt;0.005,280,"")</f>
      </c>
      <c r="B290" s="2">
        <f>IF(N(F289)&gt;0.005,MIN($B$7,N(F289)*(1+$B$5/12)),"")</f>
      </c>
      <c r="C290" s="2">
        <f>IF(N(F289)&gt;0.005,N(F289)*$B$5/12,"")</f>
      </c>
      <c r="D290" s="2">
        <f>IF(N(F289)&gt;0.005,N(B290)-N(C290),"")</f>
      </c>
      <c r="E290" s="3">
        <v>0</v>
      </c>
      <c r="F290" s="2">
        <f>IF(N(F289)&gt;0.005,MAX(0,N(F289)-N(D290)-N(E290)),"")</f>
      </c>
    </row>
    <row r="291">
      <c r="A291" s="1">
        <f>IF(N(F290)&gt;0.005,281,"")</f>
      </c>
      <c r="B291" s="2">
        <f>IF(N(F290)&gt;0.005,MIN($B$7,N(F290)*(1+$B$5/12)),"")</f>
      </c>
      <c r="C291" s="2">
        <f>IF(N(F290)&gt;0.005,N(F290)*$B$5/12,"")</f>
      </c>
      <c r="D291" s="2">
        <f>IF(N(F290)&gt;0.005,N(B291)-N(C291),"")</f>
      </c>
      <c r="E291" s="3">
        <v>0</v>
      </c>
      <c r="F291" s="2">
        <f>IF(N(F290)&gt;0.005,MAX(0,N(F290)-N(D291)-N(E291)),"")</f>
      </c>
    </row>
    <row r="292">
      <c r="A292" s="1">
        <f>IF(N(F291)&gt;0.005,282,"")</f>
      </c>
      <c r="B292" s="2">
        <f>IF(N(F291)&gt;0.005,MIN($B$7,N(F291)*(1+$B$5/12)),"")</f>
      </c>
      <c r="C292" s="2">
        <f>IF(N(F291)&gt;0.005,N(F291)*$B$5/12,"")</f>
      </c>
      <c r="D292" s="2">
        <f>IF(N(F291)&gt;0.005,N(B292)-N(C292),"")</f>
      </c>
      <c r="E292" s="3">
        <v>0</v>
      </c>
      <c r="F292" s="2">
        <f>IF(N(F291)&gt;0.005,MAX(0,N(F291)-N(D292)-N(E292)),"")</f>
      </c>
    </row>
    <row r="293">
      <c r="A293" s="1">
        <f>IF(N(F292)&gt;0.005,283,"")</f>
      </c>
      <c r="B293" s="2">
        <f>IF(N(F292)&gt;0.005,MIN($B$7,N(F292)*(1+$B$5/12)),"")</f>
      </c>
      <c r="C293" s="2">
        <f>IF(N(F292)&gt;0.005,N(F292)*$B$5/12,"")</f>
      </c>
      <c r="D293" s="2">
        <f>IF(N(F292)&gt;0.005,N(B293)-N(C293),"")</f>
      </c>
      <c r="E293" s="3">
        <v>0</v>
      </c>
      <c r="F293" s="2">
        <f>IF(N(F292)&gt;0.005,MAX(0,N(F292)-N(D293)-N(E293)),"")</f>
      </c>
    </row>
    <row r="294">
      <c r="A294" s="1">
        <f>IF(N(F293)&gt;0.005,284,"")</f>
      </c>
      <c r="B294" s="2">
        <f>IF(N(F293)&gt;0.005,MIN($B$7,N(F293)*(1+$B$5/12)),"")</f>
      </c>
      <c r="C294" s="2">
        <f>IF(N(F293)&gt;0.005,N(F293)*$B$5/12,"")</f>
      </c>
      <c r="D294" s="2">
        <f>IF(N(F293)&gt;0.005,N(B294)-N(C294),"")</f>
      </c>
      <c r="E294" s="3">
        <v>0</v>
      </c>
      <c r="F294" s="2">
        <f>IF(N(F293)&gt;0.005,MAX(0,N(F293)-N(D294)-N(E294)),"")</f>
      </c>
    </row>
    <row r="295">
      <c r="A295" s="1">
        <f>IF(N(F294)&gt;0.005,285,"")</f>
      </c>
      <c r="B295" s="2">
        <f>IF(N(F294)&gt;0.005,MIN($B$7,N(F294)*(1+$B$5/12)),"")</f>
      </c>
      <c r="C295" s="2">
        <f>IF(N(F294)&gt;0.005,N(F294)*$B$5/12,"")</f>
      </c>
      <c r="D295" s="2">
        <f>IF(N(F294)&gt;0.005,N(B295)-N(C295),"")</f>
      </c>
      <c r="E295" s="3">
        <v>0</v>
      </c>
      <c r="F295" s="2">
        <f>IF(N(F294)&gt;0.005,MAX(0,N(F294)-N(D295)-N(E295)),"")</f>
      </c>
    </row>
    <row r="296">
      <c r="A296" s="1">
        <f>IF(N(F295)&gt;0.005,286,"")</f>
      </c>
      <c r="B296" s="2">
        <f>IF(N(F295)&gt;0.005,MIN($B$7,N(F295)*(1+$B$5/12)),"")</f>
      </c>
      <c r="C296" s="2">
        <f>IF(N(F295)&gt;0.005,N(F295)*$B$5/12,"")</f>
      </c>
      <c r="D296" s="2">
        <f>IF(N(F295)&gt;0.005,N(B296)-N(C296),"")</f>
      </c>
      <c r="E296" s="3">
        <v>0</v>
      </c>
      <c r="F296" s="2">
        <f>IF(N(F295)&gt;0.005,MAX(0,N(F295)-N(D296)-N(E296)),"")</f>
      </c>
    </row>
    <row r="297">
      <c r="A297" s="1">
        <f>IF(N(F296)&gt;0.005,287,"")</f>
      </c>
      <c r="B297" s="2">
        <f>IF(N(F296)&gt;0.005,MIN($B$7,N(F296)*(1+$B$5/12)),"")</f>
      </c>
      <c r="C297" s="2">
        <f>IF(N(F296)&gt;0.005,N(F296)*$B$5/12,"")</f>
      </c>
      <c r="D297" s="2">
        <f>IF(N(F296)&gt;0.005,N(B297)-N(C297),"")</f>
      </c>
      <c r="E297" s="3">
        <v>0</v>
      </c>
      <c r="F297" s="2">
        <f>IF(N(F296)&gt;0.005,MAX(0,N(F296)-N(D297)-N(E297)),"")</f>
      </c>
    </row>
    <row r="298">
      <c r="A298" s="1">
        <f>IF(N(F297)&gt;0.005,288,"")</f>
      </c>
      <c r="B298" s="2">
        <f>IF(N(F297)&gt;0.005,MIN($B$7,N(F297)*(1+$B$5/12)),"")</f>
      </c>
      <c r="C298" s="2">
        <f>IF(N(F297)&gt;0.005,N(F297)*$B$5/12,"")</f>
      </c>
      <c r="D298" s="2">
        <f>IF(N(F297)&gt;0.005,N(B298)-N(C298),"")</f>
      </c>
      <c r="E298" s="3">
        <v>0</v>
      </c>
      <c r="F298" s="2">
        <f>IF(N(F297)&gt;0.005,MAX(0,N(F297)-N(D298)-N(E298)),"")</f>
      </c>
    </row>
    <row r="299">
      <c r="A299" s="1">
        <f>IF(N(F298)&gt;0.005,289,"")</f>
      </c>
      <c r="B299" s="2">
        <f>IF(N(F298)&gt;0.005,MIN($B$7,N(F298)*(1+$B$5/12)),"")</f>
      </c>
      <c r="C299" s="2">
        <f>IF(N(F298)&gt;0.005,N(F298)*$B$5/12,"")</f>
      </c>
      <c r="D299" s="2">
        <f>IF(N(F298)&gt;0.005,N(B299)-N(C299),"")</f>
      </c>
      <c r="E299" s="3">
        <v>0</v>
      </c>
      <c r="F299" s="2">
        <f>IF(N(F298)&gt;0.005,MAX(0,N(F298)-N(D299)-N(E299)),"")</f>
      </c>
    </row>
    <row r="300">
      <c r="A300" s="1">
        <f>IF(N(F299)&gt;0.005,290,"")</f>
      </c>
      <c r="B300" s="2">
        <f>IF(N(F299)&gt;0.005,MIN($B$7,N(F299)*(1+$B$5/12)),"")</f>
      </c>
      <c r="C300" s="2">
        <f>IF(N(F299)&gt;0.005,N(F299)*$B$5/12,"")</f>
      </c>
      <c r="D300" s="2">
        <f>IF(N(F299)&gt;0.005,N(B300)-N(C300),"")</f>
      </c>
      <c r="E300" s="3">
        <v>0</v>
      </c>
      <c r="F300" s="2">
        <f>IF(N(F299)&gt;0.005,MAX(0,N(F299)-N(D300)-N(E300)),"")</f>
      </c>
    </row>
    <row r="301">
      <c r="A301" s="1">
        <f>IF(N(F300)&gt;0.005,291,"")</f>
      </c>
      <c r="B301" s="2">
        <f>IF(N(F300)&gt;0.005,MIN($B$7,N(F300)*(1+$B$5/12)),"")</f>
      </c>
      <c r="C301" s="2">
        <f>IF(N(F300)&gt;0.005,N(F300)*$B$5/12,"")</f>
      </c>
      <c r="D301" s="2">
        <f>IF(N(F300)&gt;0.005,N(B301)-N(C301),"")</f>
      </c>
      <c r="E301" s="3">
        <v>0</v>
      </c>
      <c r="F301" s="2">
        <f>IF(N(F300)&gt;0.005,MAX(0,N(F300)-N(D301)-N(E301)),"")</f>
      </c>
    </row>
    <row r="302">
      <c r="A302" s="1">
        <f>IF(N(F301)&gt;0.005,292,"")</f>
      </c>
      <c r="B302" s="2">
        <f>IF(N(F301)&gt;0.005,MIN($B$7,N(F301)*(1+$B$5/12)),"")</f>
      </c>
      <c r="C302" s="2">
        <f>IF(N(F301)&gt;0.005,N(F301)*$B$5/12,"")</f>
      </c>
      <c r="D302" s="2">
        <f>IF(N(F301)&gt;0.005,N(B302)-N(C302),"")</f>
      </c>
      <c r="E302" s="3">
        <v>0</v>
      </c>
      <c r="F302" s="2">
        <f>IF(N(F301)&gt;0.005,MAX(0,N(F301)-N(D302)-N(E302)),"")</f>
      </c>
    </row>
    <row r="303">
      <c r="A303" s="1">
        <f>IF(N(F302)&gt;0.005,293,"")</f>
      </c>
      <c r="B303" s="2">
        <f>IF(N(F302)&gt;0.005,MIN($B$7,N(F302)*(1+$B$5/12)),"")</f>
      </c>
      <c r="C303" s="2">
        <f>IF(N(F302)&gt;0.005,N(F302)*$B$5/12,"")</f>
      </c>
      <c r="D303" s="2">
        <f>IF(N(F302)&gt;0.005,N(B303)-N(C303),"")</f>
      </c>
      <c r="E303" s="3">
        <v>0</v>
      </c>
      <c r="F303" s="2">
        <f>IF(N(F302)&gt;0.005,MAX(0,N(F302)-N(D303)-N(E303)),"")</f>
      </c>
    </row>
    <row r="304">
      <c r="A304" s="1">
        <f>IF(N(F303)&gt;0.005,294,"")</f>
      </c>
      <c r="B304" s="2">
        <f>IF(N(F303)&gt;0.005,MIN($B$7,N(F303)*(1+$B$5/12)),"")</f>
      </c>
      <c r="C304" s="2">
        <f>IF(N(F303)&gt;0.005,N(F303)*$B$5/12,"")</f>
      </c>
      <c r="D304" s="2">
        <f>IF(N(F303)&gt;0.005,N(B304)-N(C304),"")</f>
      </c>
      <c r="E304" s="3">
        <v>0</v>
      </c>
      <c r="F304" s="2">
        <f>IF(N(F303)&gt;0.005,MAX(0,N(F303)-N(D304)-N(E304)),"")</f>
      </c>
    </row>
    <row r="305">
      <c r="A305" s="1">
        <f>IF(N(F304)&gt;0.005,295,"")</f>
      </c>
      <c r="B305" s="2">
        <f>IF(N(F304)&gt;0.005,MIN($B$7,N(F304)*(1+$B$5/12)),"")</f>
      </c>
      <c r="C305" s="2">
        <f>IF(N(F304)&gt;0.005,N(F304)*$B$5/12,"")</f>
      </c>
      <c r="D305" s="2">
        <f>IF(N(F304)&gt;0.005,N(B305)-N(C305),"")</f>
      </c>
      <c r="E305" s="3">
        <v>0</v>
      </c>
      <c r="F305" s="2">
        <f>IF(N(F304)&gt;0.005,MAX(0,N(F304)-N(D305)-N(E305)),"")</f>
      </c>
    </row>
    <row r="306">
      <c r="A306" s="1">
        <f>IF(N(F305)&gt;0.005,296,"")</f>
      </c>
      <c r="B306" s="2">
        <f>IF(N(F305)&gt;0.005,MIN($B$7,N(F305)*(1+$B$5/12)),"")</f>
      </c>
      <c r="C306" s="2">
        <f>IF(N(F305)&gt;0.005,N(F305)*$B$5/12,"")</f>
      </c>
      <c r="D306" s="2">
        <f>IF(N(F305)&gt;0.005,N(B306)-N(C306),"")</f>
      </c>
      <c r="E306" s="3">
        <v>0</v>
      </c>
      <c r="F306" s="2">
        <f>IF(N(F305)&gt;0.005,MAX(0,N(F305)-N(D306)-N(E306)),"")</f>
      </c>
    </row>
    <row r="307">
      <c r="A307" s="1">
        <f>IF(N(F306)&gt;0.005,297,"")</f>
      </c>
      <c r="B307" s="2">
        <f>IF(N(F306)&gt;0.005,MIN($B$7,N(F306)*(1+$B$5/12)),"")</f>
      </c>
      <c r="C307" s="2">
        <f>IF(N(F306)&gt;0.005,N(F306)*$B$5/12,"")</f>
      </c>
      <c r="D307" s="2">
        <f>IF(N(F306)&gt;0.005,N(B307)-N(C307),"")</f>
      </c>
      <c r="E307" s="3">
        <v>0</v>
      </c>
      <c r="F307" s="2">
        <f>IF(N(F306)&gt;0.005,MAX(0,N(F306)-N(D307)-N(E307)),"")</f>
      </c>
    </row>
    <row r="308">
      <c r="A308" s="1">
        <f>IF(N(F307)&gt;0.005,298,"")</f>
      </c>
      <c r="B308" s="2">
        <f>IF(N(F307)&gt;0.005,MIN($B$7,N(F307)*(1+$B$5/12)),"")</f>
      </c>
      <c r="C308" s="2">
        <f>IF(N(F307)&gt;0.005,N(F307)*$B$5/12,"")</f>
      </c>
      <c r="D308" s="2">
        <f>IF(N(F307)&gt;0.005,N(B308)-N(C308),"")</f>
      </c>
      <c r="E308" s="3">
        <v>0</v>
      </c>
      <c r="F308" s="2">
        <f>IF(N(F307)&gt;0.005,MAX(0,N(F307)-N(D308)-N(E308)),"")</f>
      </c>
    </row>
    <row r="309">
      <c r="A309" s="1">
        <f>IF(N(F308)&gt;0.005,299,"")</f>
      </c>
      <c r="B309" s="2">
        <f>IF(N(F308)&gt;0.005,MIN($B$7,N(F308)*(1+$B$5/12)),"")</f>
      </c>
      <c r="C309" s="2">
        <f>IF(N(F308)&gt;0.005,N(F308)*$B$5/12,"")</f>
      </c>
      <c r="D309" s="2">
        <f>IF(N(F308)&gt;0.005,N(B309)-N(C309),"")</f>
      </c>
      <c r="E309" s="3">
        <v>0</v>
      </c>
      <c r="F309" s="2">
        <f>IF(N(F308)&gt;0.005,MAX(0,N(F308)-N(D309)-N(E309)),"")</f>
      </c>
    </row>
    <row r="310">
      <c r="A310" s="1">
        <f>IF(N(F309)&gt;0.005,300,"")</f>
      </c>
      <c r="B310" s="2">
        <f>IF(N(F309)&gt;0.005,MIN($B$7,N(F309)*(1+$B$5/12)),"")</f>
      </c>
      <c r="C310" s="2">
        <f>IF(N(F309)&gt;0.005,N(F309)*$B$5/12,"")</f>
      </c>
      <c r="D310" s="2">
        <f>IF(N(F309)&gt;0.005,N(B310)-N(C310),"")</f>
      </c>
      <c r="E310" s="3">
        <v>0</v>
      </c>
      <c r="F310" s="2">
        <f>IF(N(F309)&gt;0.005,MAX(0,N(F309)-N(D310)-N(E310)),"")</f>
      </c>
    </row>
    <row r="311">
      <c r="A311" s="1">
        <f>IF(N(F310)&gt;0.005,301,"")</f>
      </c>
      <c r="B311" s="2">
        <f>IF(N(F310)&gt;0.005,MIN($B$7,N(F310)*(1+$B$5/12)),"")</f>
      </c>
      <c r="C311" s="2">
        <f>IF(N(F310)&gt;0.005,N(F310)*$B$5/12,"")</f>
      </c>
      <c r="D311" s="2">
        <f>IF(N(F310)&gt;0.005,N(B311)-N(C311),"")</f>
      </c>
      <c r="E311" s="3">
        <v>0</v>
      </c>
      <c r="F311" s="2">
        <f>IF(N(F310)&gt;0.005,MAX(0,N(F310)-N(D311)-N(E311)),"")</f>
      </c>
    </row>
    <row r="312">
      <c r="A312" s="1">
        <f>IF(N(F311)&gt;0.005,302,"")</f>
      </c>
      <c r="B312" s="2">
        <f>IF(N(F311)&gt;0.005,MIN($B$7,N(F311)*(1+$B$5/12)),"")</f>
      </c>
      <c r="C312" s="2">
        <f>IF(N(F311)&gt;0.005,N(F311)*$B$5/12,"")</f>
      </c>
      <c r="D312" s="2">
        <f>IF(N(F311)&gt;0.005,N(B312)-N(C312),"")</f>
      </c>
      <c r="E312" s="3">
        <v>0</v>
      </c>
      <c r="F312" s="2">
        <f>IF(N(F311)&gt;0.005,MAX(0,N(F311)-N(D312)-N(E312)),"")</f>
      </c>
    </row>
    <row r="313">
      <c r="A313" s="1">
        <f>IF(N(F312)&gt;0.005,303,"")</f>
      </c>
      <c r="B313" s="2">
        <f>IF(N(F312)&gt;0.005,MIN($B$7,N(F312)*(1+$B$5/12)),"")</f>
      </c>
      <c r="C313" s="2">
        <f>IF(N(F312)&gt;0.005,N(F312)*$B$5/12,"")</f>
      </c>
      <c r="D313" s="2">
        <f>IF(N(F312)&gt;0.005,N(B313)-N(C313),"")</f>
      </c>
      <c r="E313" s="3">
        <v>0</v>
      </c>
      <c r="F313" s="2">
        <f>IF(N(F312)&gt;0.005,MAX(0,N(F312)-N(D313)-N(E313)),"")</f>
      </c>
    </row>
    <row r="314">
      <c r="A314" s="1">
        <f>IF(N(F313)&gt;0.005,304,"")</f>
      </c>
      <c r="B314" s="2">
        <f>IF(N(F313)&gt;0.005,MIN($B$7,N(F313)*(1+$B$5/12)),"")</f>
      </c>
      <c r="C314" s="2">
        <f>IF(N(F313)&gt;0.005,N(F313)*$B$5/12,"")</f>
      </c>
      <c r="D314" s="2">
        <f>IF(N(F313)&gt;0.005,N(B314)-N(C314),"")</f>
      </c>
      <c r="E314" s="3">
        <v>0</v>
      </c>
      <c r="F314" s="2">
        <f>IF(N(F313)&gt;0.005,MAX(0,N(F313)-N(D314)-N(E314)),"")</f>
      </c>
    </row>
    <row r="315">
      <c r="A315" s="1">
        <f>IF(N(F314)&gt;0.005,305,"")</f>
      </c>
      <c r="B315" s="2">
        <f>IF(N(F314)&gt;0.005,MIN($B$7,N(F314)*(1+$B$5/12)),"")</f>
      </c>
      <c r="C315" s="2">
        <f>IF(N(F314)&gt;0.005,N(F314)*$B$5/12,"")</f>
      </c>
      <c r="D315" s="2">
        <f>IF(N(F314)&gt;0.005,N(B315)-N(C315),"")</f>
      </c>
      <c r="E315" s="3">
        <v>0</v>
      </c>
      <c r="F315" s="2">
        <f>IF(N(F314)&gt;0.005,MAX(0,N(F314)-N(D315)-N(E315)),"")</f>
      </c>
    </row>
    <row r="316">
      <c r="A316" s="1">
        <f>IF(N(F315)&gt;0.005,306,"")</f>
      </c>
      <c r="B316" s="2">
        <f>IF(N(F315)&gt;0.005,MIN($B$7,N(F315)*(1+$B$5/12)),"")</f>
      </c>
      <c r="C316" s="2">
        <f>IF(N(F315)&gt;0.005,N(F315)*$B$5/12,"")</f>
      </c>
      <c r="D316" s="2">
        <f>IF(N(F315)&gt;0.005,N(B316)-N(C316),"")</f>
      </c>
      <c r="E316" s="3">
        <v>0</v>
      </c>
      <c r="F316" s="2">
        <f>IF(N(F315)&gt;0.005,MAX(0,N(F315)-N(D316)-N(E316)),"")</f>
      </c>
    </row>
    <row r="317">
      <c r="A317" s="1">
        <f>IF(N(F316)&gt;0.005,307,"")</f>
      </c>
      <c r="B317" s="2">
        <f>IF(N(F316)&gt;0.005,MIN($B$7,N(F316)*(1+$B$5/12)),"")</f>
      </c>
      <c r="C317" s="2">
        <f>IF(N(F316)&gt;0.005,N(F316)*$B$5/12,"")</f>
      </c>
      <c r="D317" s="2">
        <f>IF(N(F316)&gt;0.005,N(B317)-N(C317),"")</f>
      </c>
      <c r="E317" s="3">
        <v>0</v>
      </c>
      <c r="F317" s="2">
        <f>IF(N(F316)&gt;0.005,MAX(0,N(F316)-N(D317)-N(E317)),"")</f>
      </c>
    </row>
    <row r="318">
      <c r="A318" s="1">
        <f>IF(N(F317)&gt;0.005,308,"")</f>
      </c>
      <c r="B318" s="2">
        <f>IF(N(F317)&gt;0.005,MIN($B$7,N(F317)*(1+$B$5/12)),"")</f>
      </c>
      <c r="C318" s="2">
        <f>IF(N(F317)&gt;0.005,N(F317)*$B$5/12,"")</f>
      </c>
      <c r="D318" s="2">
        <f>IF(N(F317)&gt;0.005,N(B318)-N(C318),"")</f>
      </c>
      <c r="E318" s="3">
        <v>0</v>
      </c>
      <c r="F318" s="2">
        <f>IF(N(F317)&gt;0.005,MAX(0,N(F317)-N(D318)-N(E318)),"")</f>
      </c>
    </row>
    <row r="319">
      <c r="A319" s="1">
        <f>IF(N(F318)&gt;0.005,309,"")</f>
      </c>
      <c r="B319" s="2">
        <f>IF(N(F318)&gt;0.005,MIN($B$7,N(F318)*(1+$B$5/12)),"")</f>
      </c>
      <c r="C319" s="2">
        <f>IF(N(F318)&gt;0.005,N(F318)*$B$5/12,"")</f>
      </c>
      <c r="D319" s="2">
        <f>IF(N(F318)&gt;0.005,N(B319)-N(C319),"")</f>
      </c>
      <c r="E319" s="3">
        <v>0</v>
      </c>
      <c r="F319" s="2">
        <f>IF(N(F318)&gt;0.005,MAX(0,N(F318)-N(D319)-N(E319)),"")</f>
      </c>
    </row>
    <row r="320">
      <c r="A320" s="1">
        <f>IF(N(F319)&gt;0.005,310,"")</f>
      </c>
      <c r="B320" s="2">
        <f>IF(N(F319)&gt;0.005,MIN($B$7,N(F319)*(1+$B$5/12)),"")</f>
      </c>
      <c r="C320" s="2">
        <f>IF(N(F319)&gt;0.005,N(F319)*$B$5/12,"")</f>
      </c>
      <c r="D320" s="2">
        <f>IF(N(F319)&gt;0.005,N(B320)-N(C320),"")</f>
      </c>
      <c r="E320" s="3">
        <v>0</v>
      </c>
      <c r="F320" s="2">
        <f>IF(N(F319)&gt;0.005,MAX(0,N(F319)-N(D320)-N(E320)),"")</f>
      </c>
    </row>
    <row r="321">
      <c r="A321" s="1">
        <f>IF(N(F320)&gt;0.005,311,"")</f>
      </c>
      <c r="B321" s="2">
        <f>IF(N(F320)&gt;0.005,MIN($B$7,N(F320)*(1+$B$5/12)),"")</f>
      </c>
      <c r="C321" s="2">
        <f>IF(N(F320)&gt;0.005,N(F320)*$B$5/12,"")</f>
      </c>
      <c r="D321" s="2">
        <f>IF(N(F320)&gt;0.005,N(B321)-N(C321),"")</f>
      </c>
      <c r="E321" s="3">
        <v>0</v>
      </c>
      <c r="F321" s="2">
        <f>IF(N(F320)&gt;0.005,MAX(0,N(F320)-N(D321)-N(E321)),"")</f>
      </c>
    </row>
    <row r="322">
      <c r="A322" s="1">
        <f>IF(N(F321)&gt;0.005,312,"")</f>
      </c>
      <c r="B322" s="2">
        <f>IF(N(F321)&gt;0.005,MIN($B$7,N(F321)*(1+$B$5/12)),"")</f>
      </c>
      <c r="C322" s="2">
        <f>IF(N(F321)&gt;0.005,N(F321)*$B$5/12,"")</f>
      </c>
      <c r="D322" s="2">
        <f>IF(N(F321)&gt;0.005,N(B322)-N(C322),"")</f>
      </c>
      <c r="E322" s="3">
        <v>0</v>
      </c>
      <c r="F322" s="2">
        <f>IF(N(F321)&gt;0.005,MAX(0,N(F321)-N(D322)-N(E322)),"")</f>
      </c>
    </row>
    <row r="323">
      <c r="A323" s="1">
        <f>IF(N(F322)&gt;0.005,313,"")</f>
      </c>
      <c r="B323" s="2">
        <f>IF(N(F322)&gt;0.005,MIN($B$7,N(F322)*(1+$B$5/12)),"")</f>
      </c>
      <c r="C323" s="2">
        <f>IF(N(F322)&gt;0.005,N(F322)*$B$5/12,"")</f>
      </c>
      <c r="D323" s="2">
        <f>IF(N(F322)&gt;0.005,N(B323)-N(C323),"")</f>
      </c>
      <c r="E323" s="3">
        <v>0</v>
      </c>
      <c r="F323" s="2">
        <f>IF(N(F322)&gt;0.005,MAX(0,N(F322)-N(D323)-N(E323)),"")</f>
      </c>
    </row>
    <row r="324">
      <c r="A324" s="1">
        <f>IF(N(F323)&gt;0.005,314,"")</f>
      </c>
      <c r="B324" s="2">
        <f>IF(N(F323)&gt;0.005,MIN($B$7,N(F323)*(1+$B$5/12)),"")</f>
      </c>
      <c r="C324" s="2">
        <f>IF(N(F323)&gt;0.005,N(F323)*$B$5/12,"")</f>
      </c>
      <c r="D324" s="2">
        <f>IF(N(F323)&gt;0.005,N(B324)-N(C324),"")</f>
      </c>
      <c r="E324" s="3">
        <v>0</v>
      </c>
      <c r="F324" s="2">
        <f>IF(N(F323)&gt;0.005,MAX(0,N(F323)-N(D324)-N(E324)),"")</f>
      </c>
    </row>
    <row r="325">
      <c r="A325" s="1">
        <f>IF(N(F324)&gt;0.005,315,"")</f>
      </c>
      <c r="B325" s="2">
        <f>IF(N(F324)&gt;0.005,MIN($B$7,N(F324)*(1+$B$5/12)),"")</f>
      </c>
      <c r="C325" s="2">
        <f>IF(N(F324)&gt;0.005,N(F324)*$B$5/12,"")</f>
      </c>
      <c r="D325" s="2">
        <f>IF(N(F324)&gt;0.005,N(B325)-N(C325),"")</f>
      </c>
      <c r="E325" s="3">
        <v>0</v>
      </c>
      <c r="F325" s="2">
        <f>IF(N(F324)&gt;0.005,MAX(0,N(F324)-N(D325)-N(E325)),"")</f>
      </c>
    </row>
    <row r="326">
      <c r="A326" s="1">
        <f>IF(N(F325)&gt;0.005,316,"")</f>
      </c>
      <c r="B326" s="2">
        <f>IF(N(F325)&gt;0.005,MIN($B$7,N(F325)*(1+$B$5/12)),"")</f>
      </c>
      <c r="C326" s="2">
        <f>IF(N(F325)&gt;0.005,N(F325)*$B$5/12,"")</f>
      </c>
      <c r="D326" s="2">
        <f>IF(N(F325)&gt;0.005,N(B326)-N(C326),"")</f>
      </c>
      <c r="E326" s="3">
        <v>0</v>
      </c>
      <c r="F326" s="2">
        <f>IF(N(F325)&gt;0.005,MAX(0,N(F325)-N(D326)-N(E326)),"")</f>
      </c>
    </row>
    <row r="327">
      <c r="A327" s="1">
        <f>IF(N(F326)&gt;0.005,317,"")</f>
      </c>
      <c r="B327" s="2">
        <f>IF(N(F326)&gt;0.005,MIN($B$7,N(F326)*(1+$B$5/12)),"")</f>
      </c>
      <c r="C327" s="2">
        <f>IF(N(F326)&gt;0.005,N(F326)*$B$5/12,"")</f>
      </c>
      <c r="D327" s="2">
        <f>IF(N(F326)&gt;0.005,N(B327)-N(C327),"")</f>
      </c>
      <c r="E327" s="3">
        <v>0</v>
      </c>
      <c r="F327" s="2">
        <f>IF(N(F326)&gt;0.005,MAX(0,N(F326)-N(D327)-N(E327)),"")</f>
      </c>
    </row>
    <row r="328">
      <c r="A328" s="1">
        <f>IF(N(F327)&gt;0.005,318,"")</f>
      </c>
      <c r="B328" s="2">
        <f>IF(N(F327)&gt;0.005,MIN($B$7,N(F327)*(1+$B$5/12)),"")</f>
      </c>
      <c r="C328" s="2">
        <f>IF(N(F327)&gt;0.005,N(F327)*$B$5/12,"")</f>
      </c>
      <c r="D328" s="2">
        <f>IF(N(F327)&gt;0.005,N(B328)-N(C328),"")</f>
      </c>
      <c r="E328" s="3">
        <v>0</v>
      </c>
      <c r="F328" s="2">
        <f>IF(N(F327)&gt;0.005,MAX(0,N(F327)-N(D328)-N(E328)),"")</f>
      </c>
    </row>
    <row r="329">
      <c r="A329" s="1">
        <f>IF(N(F328)&gt;0.005,319,"")</f>
      </c>
      <c r="B329" s="2">
        <f>IF(N(F328)&gt;0.005,MIN($B$7,N(F328)*(1+$B$5/12)),"")</f>
      </c>
      <c r="C329" s="2">
        <f>IF(N(F328)&gt;0.005,N(F328)*$B$5/12,"")</f>
      </c>
      <c r="D329" s="2">
        <f>IF(N(F328)&gt;0.005,N(B329)-N(C329),"")</f>
      </c>
      <c r="E329" s="3">
        <v>0</v>
      </c>
      <c r="F329" s="2">
        <f>IF(N(F328)&gt;0.005,MAX(0,N(F328)-N(D329)-N(E329)),"")</f>
      </c>
    </row>
    <row r="330">
      <c r="A330" s="1">
        <f>IF(N(F329)&gt;0.005,320,"")</f>
      </c>
      <c r="B330" s="2">
        <f>IF(N(F329)&gt;0.005,MIN($B$7,N(F329)*(1+$B$5/12)),"")</f>
      </c>
      <c r="C330" s="2">
        <f>IF(N(F329)&gt;0.005,N(F329)*$B$5/12,"")</f>
      </c>
      <c r="D330" s="2">
        <f>IF(N(F329)&gt;0.005,N(B330)-N(C330),"")</f>
      </c>
      <c r="E330" s="3">
        <v>0</v>
      </c>
      <c r="F330" s="2">
        <f>IF(N(F329)&gt;0.005,MAX(0,N(F329)-N(D330)-N(E330)),"")</f>
      </c>
    </row>
    <row r="331">
      <c r="A331" s="1">
        <f>IF(N(F330)&gt;0.005,321,"")</f>
      </c>
      <c r="B331" s="2">
        <f>IF(N(F330)&gt;0.005,MIN($B$7,N(F330)*(1+$B$5/12)),"")</f>
      </c>
      <c r="C331" s="2">
        <f>IF(N(F330)&gt;0.005,N(F330)*$B$5/12,"")</f>
      </c>
      <c r="D331" s="2">
        <f>IF(N(F330)&gt;0.005,N(B331)-N(C331),"")</f>
      </c>
      <c r="E331" s="3">
        <v>0</v>
      </c>
      <c r="F331" s="2">
        <f>IF(N(F330)&gt;0.005,MAX(0,N(F330)-N(D331)-N(E331)),"")</f>
      </c>
    </row>
    <row r="332">
      <c r="A332" s="1">
        <f>IF(N(F331)&gt;0.005,322,"")</f>
      </c>
      <c r="B332" s="2">
        <f>IF(N(F331)&gt;0.005,MIN($B$7,N(F331)*(1+$B$5/12)),"")</f>
      </c>
      <c r="C332" s="2">
        <f>IF(N(F331)&gt;0.005,N(F331)*$B$5/12,"")</f>
      </c>
      <c r="D332" s="2">
        <f>IF(N(F331)&gt;0.005,N(B332)-N(C332),"")</f>
      </c>
      <c r="E332" s="3">
        <v>0</v>
      </c>
      <c r="F332" s="2">
        <f>IF(N(F331)&gt;0.005,MAX(0,N(F331)-N(D332)-N(E332)),"")</f>
      </c>
    </row>
    <row r="333">
      <c r="A333" s="1">
        <f>IF(N(F332)&gt;0.005,323,"")</f>
      </c>
      <c r="B333" s="2">
        <f>IF(N(F332)&gt;0.005,MIN($B$7,N(F332)*(1+$B$5/12)),"")</f>
      </c>
      <c r="C333" s="2">
        <f>IF(N(F332)&gt;0.005,N(F332)*$B$5/12,"")</f>
      </c>
      <c r="D333" s="2">
        <f>IF(N(F332)&gt;0.005,N(B333)-N(C333),"")</f>
      </c>
      <c r="E333" s="3">
        <v>0</v>
      </c>
      <c r="F333" s="2">
        <f>IF(N(F332)&gt;0.005,MAX(0,N(F332)-N(D333)-N(E333)),"")</f>
      </c>
    </row>
    <row r="334">
      <c r="A334" s="1">
        <f>IF(N(F333)&gt;0.005,324,"")</f>
      </c>
      <c r="B334" s="2">
        <f>IF(N(F333)&gt;0.005,MIN($B$7,N(F333)*(1+$B$5/12)),"")</f>
      </c>
      <c r="C334" s="2">
        <f>IF(N(F333)&gt;0.005,N(F333)*$B$5/12,"")</f>
      </c>
      <c r="D334" s="2">
        <f>IF(N(F333)&gt;0.005,N(B334)-N(C334),"")</f>
      </c>
      <c r="E334" s="3">
        <v>0</v>
      </c>
      <c r="F334" s="2">
        <f>IF(N(F333)&gt;0.005,MAX(0,N(F333)-N(D334)-N(E334)),"")</f>
      </c>
    </row>
    <row r="335">
      <c r="A335" s="1">
        <f>IF(N(F334)&gt;0.005,325,"")</f>
      </c>
      <c r="B335" s="2">
        <f>IF(N(F334)&gt;0.005,MIN($B$7,N(F334)*(1+$B$5/12)),"")</f>
      </c>
      <c r="C335" s="2">
        <f>IF(N(F334)&gt;0.005,N(F334)*$B$5/12,"")</f>
      </c>
      <c r="D335" s="2">
        <f>IF(N(F334)&gt;0.005,N(B335)-N(C335),"")</f>
      </c>
      <c r="E335" s="3">
        <v>0</v>
      </c>
      <c r="F335" s="2">
        <f>IF(N(F334)&gt;0.005,MAX(0,N(F334)-N(D335)-N(E335)),"")</f>
      </c>
    </row>
    <row r="336">
      <c r="A336" s="1">
        <f>IF(N(F335)&gt;0.005,326,"")</f>
      </c>
      <c r="B336" s="2">
        <f>IF(N(F335)&gt;0.005,MIN($B$7,N(F335)*(1+$B$5/12)),"")</f>
      </c>
      <c r="C336" s="2">
        <f>IF(N(F335)&gt;0.005,N(F335)*$B$5/12,"")</f>
      </c>
      <c r="D336" s="2">
        <f>IF(N(F335)&gt;0.005,N(B336)-N(C336),"")</f>
      </c>
      <c r="E336" s="3">
        <v>0</v>
      </c>
      <c r="F336" s="2">
        <f>IF(N(F335)&gt;0.005,MAX(0,N(F335)-N(D336)-N(E336)),"")</f>
      </c>
    </row>
    <row r="337">
      <c r="A337" s="1">
        <f>IF(N(F336)&gt;0.005,327,"")</f>
      </c>
      <c r="B337" s="2">
        <f>IF(N(F336)&gt;0.005,MIN($B$7,N(F336)*(1+$B$5/12)),"")</f>
      </c>
      <c r="C337" s="2">
        <f>IF(N(F336)&gt;0.005,N(F336)*$B$5/12,"")</f>
      </c>
      <c r="D337" s="2">
        <f>IF(N(F336)&gt;0.005,N(B337)-N(C337),"")</f>
      </c>
      <c r="E337" s="3">
        <v>0</v>
      </c>
      <c r="F337" s="2">
        <f>IF(N(F336)&gt;0.005,MAX(0,N(F336)-N(D337)-N(E337)),"")</f>
      </c>
    </row>
    <row r="338">
      <c r="A338" s="1">
        <f>IF(N(F337)&gt;0.005,328,"")</f>
      </c>
      <c r="B338" s="2">
        <f>IF(N(F337)&gt;0.005,MIN($B$7,N(F337)*(1+$B$5/12)),"")</f>
      </c>
      <c r="C338" s="2">
        <f>IF(N(F337)&gt;0.005,N(F337)*$B$5/12,"")</f>
      </c>
      <c r="D338" s="2">
        <f>IF(N(F337)&gt;0.005,N(B338)-N(C338),"")</f>
      </c>
      <c r="E338" s="3">
        <v>0</v>
      </c>
      <c r="F338" s="2">
        <f>IF(N(F337)&gt;0.005,MAX(0,N(F337)-N(D338)-N(E338)),"")</f>
      </c>
    </row>
    <row r="339">
      <c r="A339" s="1">
        <f>IF(N(F338)&gt;0.005,329,"")</f>
      </c>
      <c r="B339" s="2">
        <f>IF(N(F338)&gt;0.005,MIN($B$7,N(F338)*(1+$B$5/12)),"")</f>
      </c>
      <c r="C339" s="2">
        <f>IF(N(F338)&gt;0.005,N(F338)*$B$5/12,"")</f>
      </c>
      <c r="D339" s="2">
        <f>IF(N(F338)&gt;0.005,N(B339)-N(C339),"")</f>
      </c>
      <c r="E339" s="3">
        <v>0</v>
      </c>
      <c r="F339" s="2">
        <f>IF(N(F338)&gt;0.005,MAX(0,N(F338)-N(D339)-N(E339)),"")</f>
      </c>
    </row>
    <row r="340">
      <c r="A340" s="1">
        <f>IF(N(F339)&gt;0.005,330,"")</f>
      </c>
      <c r="B340" s="2">
        <f>IF(N(F339)&gt;0.005,MIN($B$7,N(F339)*(1+$B$5/12)),"")</f>
      </c>
      <c r="C340" s="2">
        <f>IF(N(F339)&gt;0.005,N(F339)*$B$5/12,"")</f>
      </c>
      <c r="D340" s="2">
        <f>IF(N(F339)&gt;0.005,N(B340)-N(C340),"")</f>
      </c>
      <c r="E340" s="3">
        <v>0</v>
      </c>
      <c r="F340" s="2">
        <f>IF(N(F339)&gt;0.005,MAX(0,N(F339)-N(D340)-N(E340)),"")</f>
      </c>
    </row>
    <row r="341">
      <c r="A341" s="1">
        <f>IF(N(F340)&gt;0.005,331,"")</f>
      </c>
      <c r="B341" s="2">
        <f>IF(N(F340)&gt;0.005,MIN($B$7,N(F340)*(1+$B$5/12)),"")</f>
      </c>
      <c r="C341" s="2">
        <f>IF(N(F340)&gt;0.005,N(F340)*$B$5/12,"")</f>
      </c>
      <c r="D341" s="2">
        <f>IF(N(F340)&gt;0.005,N(B341)-N(C341),"")</f>
      </c>
      <c r="E341" s="3">
        <v>0</v>
      </c>
      <c r="F341" s="2">
        <f>IF(N(F340)&gt;0.005,MAX(0,N(F340)-N(D341)-N(E341)),"")</f>
      </c>
    </row>
    <row r="342">
      <c r="A342" s="1">
        <f>IF(N(F341)&gt;0.005,332,"")</f>
      </c>
      <c r="B342" s="2">
        <f>IF(N(F341)&gt;0.005,MIN($B$7,N(F341)*(1+$B$5/12)),"")</f>
      </c>
      <c r="C342" s="2">
        <f>IF(N(F341)&gt;0.005,N(F341)*$B$5/12,"")</f>
      </c>
      <c r="D342" s="2">
        <f>IF(N(F341)&gt;0.005,N(B342)-N(C342),"")</f>
      </c>
      <c r="E342" s="3">
        <v>0</v>
      </c>
      <c r="F342" s="2">
        <f>IF(N(F341)&gt;0.005,MAX(0,N(F341)-N(D342)-N(E342)),"")</f>
      </c>
    </row>
    <row r="343">
      <c r="A343" s="1">
        <f>IF(N(F342)&gt;0.005,333,"")</f>
      </c>
      <c r="B343" s="2">
        <f>IF(N(F342)&gt;0.005,MIN($B$7,N(F342)*(1+$B$5/12)),"")</f>
      </c>
      <c r="C343" s="2">
        <f>IF(N(F342)&gt;0.005,N(F342)*$B$5/12,"")</f>
      </c>
      <c r="D343" s="2">
        <f>IF(N(F342)&gt;0.005,N(B343)-N(C343),"")</f>
      </c>
      <c r="E343" s="3">
        <v>0</v>
      </c>
      <c r="F343" s="2">
        <f>IF(N(F342)&gt;0.005,MAX(0,N(F342)-N(D343)-N(E343)),"")</f>
      </c>
    </row>
    <row r="344">
      <c r="A344" s="1">
        <f>IF(N(F343)&gt;0.005,334,"")</f>
      </c>
      <c r="B344" s="2">
        <f>IF(N(F343)&gt;0.005,MIN($B$7,N(F343)*(1+$B$5/12)),"")</f>
      </c>
      <c r="C344" s="2">
        <f>IF(N(F343)&gt;0.005,N(F343)*$B$5/12,"")</f>
      </c>
      <c r="D344" s="2">
        <f>IF(N(F343)&gt;0.005,N(B344)-N(C344),"")</f>
      </c>
      <c r="E344" s="3">
        <v>0</v>
      </c>
      <c r="F344" s="2">
        <f>IF(N(F343)&gt;0.005,MAX(0,N(F343)-N(D344)-N(E344)),"")</f>
      </c>
    </row>
    <row r="345">
      <c r="A345" s="1">
        <f>IF(N(F344)&gt;0.005,335,"")</f>
      </c>
      <c r="B345" s="2">
        <f>IF(N(F344)&gt;0.005,MIN($B$7,N(F344)*(1+$B$5/12)),"")</f>
      </c>
      <c r="C345" s="2">
        <f>IF(N(F344)&gt;0.005,N(F344)*$B$5/12,"")</f>
      </c>
      <c r="D345" s="2">
        <f>IF(N(F344)&gt;0.005,N(B345)-N(C345),"")</f>
      </c>
      <c r="E345" s="3">
        <v>0</v>
      </c>
      <c r="F345" s="2">
        <f>IF(N(F344)&gt;0.005,MAX(0,N(F344)-N(D345)-N(E345)),"")</f>
      </c>
    </row>
    <row r="346">
      <c r="A346" s="1">
        <f>IF(N(F345)&gt;0.005,336,"")</f>
      </c>
      <c r="B346" s="2">
        <f>IF(N(F345)&gt;0.005,MIN($B$7,N(F345)*(1+$B$5/12)),"")</f>
      </c>
      <c r="C346" s="2">
        <f>IF(N(F345)&gt;0.005,N(F345)*$B$5/12,"")</f>
      </c>
      <c r="D346" s="2">
        <f>IF(N(F345)&gt;0.005,N(B346)-N(C346),"")</f>
      </c>
      <c r="E346" s="3">
        <v>0</v>
      </c>
      <c r="F346" s="2">
        <f>IF(N(F345)&gt;0.005,MAX(0,N(F345)-N(D346)-N(E346)),"")</f>
      </c>
    </row>
    <row r="347">
      <c r="A347" s="1">
        <f>IF(N(F346)&gt;0.005,337,"")</f>
      </c>
      <c r="B347" s="2">
        <f>IF(N(F346)&gt;0.005,MIN($B$7,N(F346)*(1+$B$5/12)),"")</f>
      </c>
      <c r="C347" s="2">
        <f>IF(N(F346)&gt;0.005,N(F346)*$B$5/12,"")</f>
      </c>
      <c r="D347" s="2">
        <f>IF(N(F346)&gt;0.005,N(B347)-N(C347),"")</f>
      </c>
      <c r="E347" s="3">
        <v>0</v>
      </c>
      <c r="F347" s="2">
        <f>IF(N(F346)&gt;0.005,MAX(0,N(F346)-N(D347)-N(E347)),"")</f>
      </c>
    </row>
    <row r="348">
      <c r="A348" s="1">
        <f>IF(N(F347)&gt;0.005,338,"")</f>
      </c>
      <c r="B348" s="2">
        <f>IF(N(F347)&gt;0.005,MIN($B$7,N(F347)*(1+$B$5/12)),"")</f>
      </c>
      <c r="C348" s="2">
        <f>IF(N(F347)&gt;0.005,N(F347)*$B$5/12,"")</f>
      </c>
      <c r="D348" s="2">
        <f>IF(N(F347)&gt;0.005,N(B348)-N(C348),"")</f>
      </c>
      <c r="E348" s="3">
        <v>0</v>
      </c>
      <c r="F348" s="2">
        <f>IF(N(F347)&gt;0.005,MAX(0,N(F347)-N(D348)-N(E348)),"")</f>
      </c>
    </row>
    <row r="349">
      <c r="A349" s="1">
        <f>IF(N(F348)&gt;0.005,339,"")</f>
      </c>
      <c r="B349" s="2">
        <f>IF(N(F348)&gt;0.005,MIN($B$7,N(F348)*(1+$B$5/12)),"")</f>
      </c>
      <c r="C349" s="2">
        <f>IF(N(F348)&gt;0.005,N(F348)*$B$5/12,"")</f>
      </c>
      <c r="D349" s="2">
        <f>IF(N(F348)&gt;0.005,N(B349)-N(C349),"")</f>
      </c>
      <c r="E349" s="3">
        <v>0</v>
      </c>
      <c r="F349" s="2">
        <f>IF(N(F348)&gt;0.005,MAX(0,N(F348)-N(D349)-N(E349)),"")</f>
      </c>
    </row>
    <row r="350">
      <c r="A350" s="1">
        <f>IF(N(F349)&gt;0.005,340,"")</f>
      </c>
      <c r="B350" s="2">
        <f>IF(N(F349)&gt;0.005,MIN($B$7,N(F349)*(1+$B$5/12)),"")</f>
      </c>
      <c r="C350" s="2">
        <f>IF(N(F349)&gt;0.005,N(F349)*$B$5/12,"")</f>
      </c>
      <c r="D350" s="2">
        <f>IF(N(F349)&gt;0.005,N(B350)-N(C350),"")</f>
      </c>
      <c r="E350" s="3">
        <v>0</v>
      </c>
      <c r="F350" s="2">
        <f>IF(N(F349)&gt;0.005,MAX(0,N(F349)-N(D350)-N(E350)),"")</f>
      </c>
    </row>
    <row r="351">
      <c r="A351" s="1">
        <f>IF(N(F350)&gt;0.005,341,"")</f>
      </c>
      <c r="B351" s="2">
        <f>IF(N(F350)&gt;0.005,MIN($B$7,N(F350)*(1+$B$5/12)),"")</f>
      </c>
      <c r="C351" s="2">
        <f>IF(N(F350)&gt;0.005,N(F350)*$B$5/12,"")</f>
      </c>
      <c r="D351" s="2">
        <f>IF(N(F350)&gt;0.005,N(B351)-N(C351),"")</f>
      </c>
      <c r="E351" s="3">
        <v>0</v>
      </c>
      <c r="F351" s="2">
        <f>IF(N(F350)&gt;0.005,MAX(0,N(F350)-N(D351)-N(E351)),"")</f>
      </c>
    </row>
    <row r="352">
      <c r="A352" s="1">
        <f>IF(N(F351)&gt;0.005,342,"")</f>
      </c>
      <c r="B352" s="2">
        <f>IF(N(F351)&gt;0.005,MIN($B$7,N(F351)*(1+$B$5/12)),"")</f>
      </c>
      <c r="C352" s="2">
        <f>IF(N(F351)&gt;0.005,N(F351)*$B$5/12,"")</f>
      </c>
      <c r="D352" s="2">
        <f>IF(N(F351)&gt;0.005,N(B352)-N(C352),"")</f>
      </c>
      <c r="E352" s="3">
        <v>0</v>
      </c>
      <c r="F352" s="2">
        <f>IF(N(F351)&gt;0.005,MAX(0,N(F351)-N(D352)-N(E352)),"")</f>
      </c>
    </row>
    <row r="353">
      <c r="A353" s="1">
        <f>IF(N(F352)&gt;0.005,343,"")</f>
      </c>
      <c r="B353" s="2">
        <f>IF(N(F352)&gt;0.005,MIN($B$7,N(F352)*(1+$B$5/12)),"")</f>
      </c>
      <c r="C353" s="2">
        <f>IF(N(F352)&gt;0.005,N(F352)*$B$5/12,"")</f>
      </c>
      <c r="D353" s="2">
        <f>IF(N(F352)&gt;0.005,N(B353)-N(C353),"")</f>
      </c>
      <c r="E353" s="3">
        <v>0</v>
      </c>
      <c r="F353" s="2">
        <f>IF(N(F352)&gt;0.005,MAX(0,N(F352)-N(D353)-N(E353)),"")</f>
      </c>
    </row>
    <row r="354">
      <c r="A354" s="1">
        <f>IF(N(F353)&gt;0.005,344,"")</f>
      </c>
      <c r="B354" s="2">
        <f>IF(N(F353)&gt;0.005,MIN($B$7,N(F353)*(1+$B$5/12)),"")</f>
      </c>
      <c r="C354" s="2">
        <f>IF(N(F353)&gt;0.005,N(F353)*$B$5/12,"")</f>
      </c>
      <c r="D354" s="2">
        <f>IF(N(F353)&gt;0.005,N(B354)-N(C354),"")</f>
      </c>
      <c r="E354" s="3">
        <v>0</v>
      </c>
      <c r="F354" s="2">
        <f>IF(N(F353)&gt;0.005,MAX(0,N(F353)-N(D354)-N(E354)),"")</f>
      </c>
    </row>
    <row r="355">
      <c r="A355" s="1">
        <f>IF(N(F354)&gt;0.005,345,"")</f>
      </c>
      <c r="B355" s="2">
        <f>IF(N(F354)&gt;0.005,MIN($B$7,N(F354)*(1+$B$5/12)),"")</f>
      </c>
      <c r="C355" s="2">
        <f>IF(N(F354)&gt;0.005,N(F354)*$B$5/12,"")</f>
      </c>
      <c r="D355" s="2">
        <f>IF(N(F354)&gt;0.005,N(B355)-N(C355),"")</f>
      </c>
      <c r="E355" s="3">
        <v>0</v>
      </c>
      <c r="F355" s="2">
        <f>IF(N(F354)&gt;0.005,MAX(0,N(F354)-N(D355)-N(E355)),"")</f>
      </c>
    </row>
    <row r="356">
      <c r="A356" s="1">
        <f>IF(N(F355)&gt;0.005,346,"")</f>
      </c>
      <c r="B356" s="2">
        <f>IF(N(F355)&gt;0.005,MIN($B$7,N(F355)*(1+$B$5/12)),"")</f>
      </c>
      <c r="C356" s="2">
        <f>IF(N(F355)&gt;0.005,N(F355)*$B$5/12,"")</f>
      </c>
      <c r="D356" s="2">
        <f>IF(N(F355)&gt;0.005,N(B356)-N(C356),"")</f>
      </c>
      <c r="E356" s="3">
        <v>0</v>
      </c>
      <c r="F356" s="2">
        <f>IF(N(F355)&gt;0.005,MAX(0,N(F355)-N(D356)-N(E356)),"")</f>
      </c>
    </row>
    <row r="357">
      <c r="A357" s="1">
        <f>IF(N(F356)&gt;0.005,347,"")</f>
      </c>
      <c r="B357" s="2">
        <f>IF(N(F356)&gt;0.005,MIN($B$7,N(F356)*(1+$B$5/12)),"")</f>
      </c>
      <c r="C357" s="2">
        <f>IF(N(F356)&gt;0.005,N(F356)*$B$5/12,"")</f>
      </c>
      <c r="D357" s="2">
        <f>IF(N(F356)&gt;0.005,N(B357)-N(C357),"")</f>
      </c>
      <c r="E357" s="3">
        <v>0</v>
      </c>
      <c r="F357" s="2">
        <f>IF(N(F356)&gt;0.005,MAX(0,N(F356)-N(D357)-N(E357)),"")</f>
      </c>
    </row>
    <row r="358">
      <c r="A358" s="1">
        <f>IF(N(F357)&gt;0.005,348,"")</f>
      </c>
      <c r="B358" s="2">
        <f>IF(N(F357)&gt;0.005,MIN($B$7,N(F357)*(1+$B$5/12)),"")</f>
      </c>
      <c r="C358" s="2">
        <f>IF(N(F357)&gt;0.005,N(F357)*$B$5/12,"")</f>
      </c>
      <c r="D358" s="2">
        <f>IF(N(F357)&gt;0.005,N(B358)-N(C358),"")</f>
      </c>
      <c r="E358" s="3">
        <v>0</v>
      </c>
      <c r="F358" s="2">
        <f>IF(N(F357)&gt;0.005,MAX(0,N(F357)-N(D358)-N(E358)),"")</f>
      </c>
    </row>
    <row r="359">
      <c r="A359" s="1">
        <f>IF(N(F358)&gt;0.005,349,"")</f>
      </c>
      <c r="B359" s="2">
        <f>IF(N(F358)&gt;0.005,MIN($B$7,N(F358)*(1+$B$5/12)),"")</f>
      </c>
      <c r="C359" s="2">
        <f>IF(N(F358)&gt;0.005,N(F358)*$B$5/12,"")</f>
      </c>
      <c r="D359" s="2">
        <f>IF(N(F358)&gt;0.005,N(B359)-N(C359),"")</f>
      </c>
      <c r="E359" s="3">
        <v>0</v>
      </c>
      <c r="F359" s="2">
        <f>IF(N(F358)&gt;0.005,MAX(0,N(F358)-N(D359)-N(E359)),"")</f>
      </c>
    </row>
    <row r="360">
      <c r="A360" s="1">
        <f>IF(N(F359)&gt;0.005,350,"")</f>
      </c>
      <c r="B360" s="2">
        <f>IF(N(F359)&gt;0.005,MIN($B$7,N(F359)*(1+$B$5/12)),"")</f>
      </c>
      <c r="C360" s="2">
        <f>IF(N(F359)&gt;0.005,N(F359)*$B$5/12,"")</f>
      </c>
      <c r="D360" s="2">
        <f>IF(N(F359)&gt;0.005,N(B360)-N(C360),"")</f>
      </c>
      <c r="E360" s="3">
        <v>0</v>
      </c>
      <c r="F360" s="2">
        <f>IF(N(F359)&gt;0.005,MAX(0,N(F359)-N(D360)-N(E360)),"")</f>
      </c>
    </row>
    <row r="361">
      <c r="A361" s="1">
        <f>IF(N(F360)&gt;0.005,351,"")</f>
      </c>
      <c r="B361" s="2">
        <f>IF(N(F360)&gt;0.005,MIN($B$7,N(F360)*(1+$B$5/12)),"")</f>
      </c>
      <c r="C361" s="2">
        <f>IF(N(F360)&gt;0.005,N(F360)*$B$5/12,"")</f>
      </c>
      <c r="D361" s="2">
        <f>IF(N(F360)&gt;0.005,N(B361)-N(C361),"")</f>
      </c>
      <c r="E361" s="3">
        <v>0</v>
      </c>
      <c r="F361" s="2">
        <f>IF(N(F360)&gt;0.005,MAX(0,N(F360)-N(D361)-N(E361)),"")</f>
      </c>
    </row>
    <row r="362">
      <c r="A362" s="1">
        <f>IF(N(F361)&gt;0.005,352,"")</f>
      </c>
      <c r="B362" s="2">
        <f>IF(N(F361)&gt;0.005,MIN($B$7,N(F361)*(1+$B$5/12)),"")</f>
      </c>
      <c r="C362" s="2">
        <f>IF(N(F361)&gt;0.005,N(F361)*$B$5/12,"")</f>
      </c>
      <c r="D362" s="2">
        <f>IF(N(F361)&gt;0.005,N(B362)-N(C362),"")</f>
      </c>
      <c r="E362" s="3">
        <v>0</v>
      </c>
      <c r="F362" s="2">
        <f>IF(N(F361)&gt;0.005,MAX(0,N(F361)-N(D362)-N(E362)),"")</f>
      </c>
    </row>
    <row r="363">
      <c r="A363" s="1">
        <f>IF(N(F362)&gt;0.005,353,"")</f>
      </c>
      <c r="B363" s="2">
        <f>IF(N(F362)&gt;0.005,MIN($B$7,N(F362)*(1+$B$5/12)),"")</f>
      </c>
      <c r="C363" s="2">
        <f>IF(N(F362)&gt;0.005,N(F362)*$B$5/12,"")</f>
      </c>
      <c r="D363" s="2">
        <f>IF(N(F362)&gt;0.005,N(B363)-N(C363),"")</f>
      </c>
      <c r="E363" s="3">
        <v>0</v>
      </c>
      <c r="F363" s="2">
        <f>IF(N(F362)&gt;0.005,MAX(0,N(F362)-N(D363)-N(E363)),"")</f>
      </c>
    </row>
    <row r="364">
      <c r="A364" s="1">
        <f>IF(N(F363)&gt;0.005,354,"")</f>
      </c>
      <c r="B364" s="2">
        <f>IF(N(F363)&gt;0.005,MIN($B$7,N(F363)*(1+$B$5/12)),"")</f>
      </c>
      <c r="C364" s="2">
        <f>IF(N(F363)&gt;0.005,N(F363)*$B$5/12,"")</f>
      </c>
      <c r="D364" s="2">
        <f>IF(N(F363)&gt;0.005,N(B364)-N(C364),"")</f>
      </c>
      <c r="E364" s="3">
        <v>0</v>
      </c>
      <c r="F364" s="2">
        <f>IF(N(F363)&gt;0.005,MAX(0,N(F363)-N(D364)-N(E364)),"")</f>
      </c>
    </row>
    <row r="365">
      <c r="A365" s="1">
        <f>IF(N(F364)&gt;0.005,355,"")</f>
      </c>
      <c r="B365" s="2">
        <f>IF(N(F364)&gt;0.005,MIN($B$7,N(F364)*(1+$B$5/12)),"")</f>
      </c>
      <c r="C365" s="2">
        <f>IF(N(F364)&gt;0.005,N(F364)*$B$5/12,"")</f>
      </c>
      <c r="D365" s="2">
        <f>IF(N(F364)&gt;0.005,N(B365)-N(C365),"")</f>
      </c>
      <c r="E365" s="3">
        <v>0</v>
      </c>
      <c r="F365" s="2">
        <f>IF(N(F364)&gt;0.005,MAX(0,N(F364)-N(D365)-N(E365)),"")</f>
      </c>
    </row>
    <row r="366">
      <c r="A366" s="1">
        <f>IF(N(F365)&gt;0.005,356,"")</f>
      </c>
      <c r="B366" s="2">
        <f>IF(N(F365)&gt;0.005,MIN($B$7,N(F365)*(1+$B$5/12)),"")</f>
      </c>
      <c r="C366" s="2">
        <f>IF(N(F365)&gt;0.005,N(F365)*$B$5/12,"")</f>
      </c>
      <c r="D366" s="2">
        <f>IF(N(F365)&gt;0.005,N(B366)-N(C366),"")</f>
      </c>
      <c r="E366" s="3">
        <v>0</v>
      </c>
      <c r="F366" s="2">
        <f>IF(N(F365)&gt;0.005,MAX(0,N(F365)-N(D366)-N(E366)),"")</f>
      </c>
    </row>
    <row r="367">
      <c r="A367" s="1">
        <f>IF(N(F366)&gt;0.005,357,"")</f>
      </c>
      <c r="B367" s="2">
        <f>IF(N(F366)&gt;0.005,MIN($B$7,N(F366)*(1+$B$5/12)),"")</f>
      </c>
      <c r="C367" s="2">
        <f>IF(N(F366)&gt;0.005,N(F366)*$B$5/12,"")</f>
      </c>
      <c r="D367" s="2">
        <f>IF(N(F366)&gt;0.005,N(B367)-N(C367),"")</f>
      </c>
      <c r="E367" s="3">
        <v>0</v>
      </c>
      <c r="F367" s="2">
        <f>IF(N(F366)&gt;0.005,MAX(0,N(F366)-N(D367)-N(E367)),"")</f>
      </c>
    </row>
    <row r="368">
      <c r="A368" s="1">
        <f>IF(N(F367)&gt;0.005,358,"")</f>
      </c>
      <c r="B368" s="2">
        <f>IF(N(F367)&gt;0.005,MIN($B$7,N(F367)*(1+$B$5/12)),"")</f>
      </c>
      <c r="C368" s="2">
        <f>IF(N(F367)&gt;0.005,N(F367)*$B$5/12,"")</f>
      </c>
      <c r="D368" s="2">
        <f>IF(N(F367)&gt;0.005,N(B368)-N(C368),"")</f>
      </c>
      <c r="E368" s="3">
        <v>0</v>
      </c>
      <c r="F368" s="2">
        <f>IF(N(F367)&gt;0.005,MAX(0,N(F367)-N(D368)-N(E368)),"")</f>
      </c>
    </row>
    <row r="369">
      <c r="A369" s="1">
        <f>IF(N(F368)&gt;0.005,359,"")</f>
      </c>
      <c r="B369" s="2">
        <f>IF(N(F368)&gt;0.005,MIN($B$7,N(F368)*(1+$B$5/12)),"")</f>
      </c>
      <c r="C369" s="2">
        <f>IF(N(F368)&gt;0.005,N(F368)*$B$5/12,"")</f>
      </c>
      <c r="D369" s="2">
        <f>IF(N(F368)&gt;0.005,N(B369)-N(C369),"")</f>
      </c>
      <c r="E369" s="3">
        <v>0</v>
      </c>
      <c r="F369" s="2">
        <f>IF(N(F368)&gt;0.005,MAX(0,N(F368)-N(D369)-N(E369)),"")</f>
      </c>
    </row>
    <row r="370">
      <c r="A370" s="1">
        <f>IF(N(F369)&gt;0.005,360,"")</f>
      </c>
      <c r="B370" s="2">
        <f>IF(N(F369)&gt;0.005,MIN($B$7,N(F369)*(1+$B$5/12)),"")</f>
      </c>
      <c r="C370" s="2">
        <f>IF(N(F369)&gt;0.005,N(F369)*$B$5/12,"")</f>
      </c>
      <c r="D370" s="2">
        <f>IF(N(F369)&gt;0.005,N(B370)-N(C370),"")</f>
      </c>
      <c r="E370" s="3">
        <v>0</v>
      </c>
      <c r="F370" s="2">
        <f>IF(N(F369)&gt;0.005,MAX(0,N(F369)-N(D370)-N(E370)),"")</f>
      </c>
    </row>
    <row r="371">
      <c r="A371" s="1">
        <f>IF(N(F370)&gt;0.005,361,"")</f>
      </c>
      <c r="B371" s="2">
        <f>IF(N(F370)&gt;0.005,MIN($B$7,N(F370)*(1+$B$5/12)),"")</f>
      </c>
      <c r="C371" s="2">
        <f>IF(N(F370)&gt;0.005,N(F370)*$B$5/12,"")</f>
      </c>
      <c r="D371" s="2">
        <f>IF(N(F370)&gt;0.005,N(B371)-N(C371),"")</f>
      </c>
      <c r="E371" s="3">
        <v>0</v>
      </c>
      <c r="F371" s="2">
        <f>IF(N(F370)&gt;0.005,MAX(0,N(F370)-N(D371)-N(E371)),"")</f>
      </c>
    </row>
    <row r="372">
      <c r="A372" s="1">
        <f>IF(N(F371)&gt;0.005,362,"")</f>
      </c>
      <c r="B372" s="2">
        <f>IF(N(F371)&gt;0.005,MIN($B$7,N(F371)*(1+$B$5/12)),"")</f>
      </c>
      <c r="C372" s="2">
        <f>IF(N(F371)&gt;0.005,N(F371)*$B$5/12,"")</f>
      </c>
      <c r="D372" s="2">
        <f>IF(N(F371)&gt;0.005,N(B372)-N(C372),"")</f>
      </c>
      <c r="E372" s="3">
        <v>0</v>
      </c>
      <c r="F372" s="2">
        <f>IF(N(F371)&gt;0.005,MAX(0,N(F371)-N(D372)-N(E372)),"")</f>
      </c>
    </row>
    <row r="373">
      <c r="A373" s="1">
        <f>IF(N(F372)&gt;0.005,363,"")</f>
      </c>
      <c r="B373" s="2">
        <f>IF(N(F372)&gt;0.005,MIN($B$7,N(F372)*(1+$B$5/12)),"")</f>
      </c>
      <c r="C373" s="2">
        <f>IF(N(F372)&gt;0.005,N(F372)*$B$5/12,"")</f>
      </c>
      <c r="D373" s="2">
        <f>IF(N(F372)&gt;0.005,N(B373)-N(C373),"")</f>
      </c>
      <c r="E373" s="3">
        <v>0</v>
      </c>
      <c r="F373" s="2">
        <f>IF(N(F372)&gt;0.005,MAX(0,N(F372)-N(D373)-N(E373)),"")</f>
      </c>
    </row>
    <row r="374">
      <c r="A374" s="1">
        <f>IF(N(F373)&gt;0.005,364,"")</f>
      </c>
      <c r="B374" s="2">
        <f>IF(N(F373)&gt;0.005,MIN($B$7,N(F373)*(1+$B$5/12)),"")</f>
      </c>
      <c r="C374" s="2">
        <f>IF(N(F373)&gt;0.005,N(F373)*$B$5/12,"")</f>
      </c>
      <c r="D374" s="2">
        <f>IF(N(F373)&gt;0.005,N(B374)-N(C374),"")</f>
      </c>
      <c r="E374" s="3">
        <v>0</v>
      </c>
      <c r="F374" s="2">
        <f>IF(N(F373)&gt;0.005,MAX(0,N(F373)-N(D374)-N(E374)),"")</f>
      </c>
    </row>
    <row r="375">
      <c r="A375" s="1">
        <f>IF(N(F374)&gt;0.005,365,"")</f>
      </c>
      <c r="B375" s="2">
        <f>IF(N(F374)&gt;0.005,MIN($B$7,N(F374)*(1+$B$5/12)),"")</f>
      </c>
      <c r="C375" s="2">
        <f>IF(N(F374)&gt;0.005,N(F374)*$B$5/12,"")</f>
      </c>
      <c r="D375" s="2">
        <f>IF(N(F374)&gt;0.005,N(B375)-N(C375),"")</f>
      </c>
      <c r="E375" s="3">
        <v>0</v>
      </c>
      <c r="F375" s="2">
        <f>IF(N(F374)&gt;0.005,MAX(0,N(F374)-N(D375)-N(E375)),"")</f>
      </c>
    </row>
    <row r="376">
      <c r="A376" s="1">
        <f>IF(N(F375)&gt;0.005,366,"")</f>
      </c>
      <c r="B376" s="2">
        <f>IF(N(F375)&gt;0.005,MIN($B$7,N(F375)*(1+$B$5/12)),"")</f>
      </c>
      <c r="C376" s="2">
        <f>IF(N(F375)&gt;0.005,N(F375)*$B$5/12,"")</f>
      </c>
      <c r="D376" s="2">
        <f>IF(N(F375)&gt;0.005,N(B376)-N(C376),"")</f>
      </c>
      <c r="E376" s="3">
        <v>0</v>
      </c>
      <c r="F376" s="2">
        <f>IF(N(F375)&gt;0.005,MAX(0,N(F375)-N(D376)-N(E376)),"")</f>
      </c>
    </row>
    <row r="377">
      <c r="A377" s="1">
        <f>IF(N(F376)&gt;0.005,367,"")</f>
      </c>
      <c r="B377" s="2">
        <f>IF(N(F376)&gt;0.005,MIN($B$7,N(F376)*(1+$B$5/12)),"")</f>
      </c>
      <c r="C377" s="2">
        <f>IF(N(F376)&gt;0.005,N(F376)*$B$5/12,"")</f>
      </c>
      <c r="D377" s="2">
        <f>IF(N(F376)&gt;0.005,N(B377)-N(C377),"")</f>
      </c>
      <c r="E377" s="3">
        <v>0</v>
      </c>
      <c r="F377" s="2">
        <f>IF(N(F376)&gt;0.005,MAX(0,N(F376)-N(D377)-N(E377)),"")</f>
      </c>
    </row>
    <row r="378">
      <c r="A378" s="1">
        <f>IF(N(F377)&gt;0.005,368,"")</f>
      </c>
      <c r="B378" s="2">
        <f>IF(N(F377)&gt;0.005,MIN($B$7,N(F377)*(1+$B$5/12)),"")</f>
      </c>
      <c r="C378" s="2">
        <f>IF(N(F377)&gt;0.005,N(F377)*$B$5/12,"")</f>
      </c>
      <c r="D378" s="2">
        <f>IF(N(F377)&gt;0.005,N(B378)-N(C378),"")</f>
      </c>
      <c r="E378" s="3">
        <v>0</v>
      </c>
      <c r="F378" s="2">
        <f>IF(N(F377)&gt;0.005,MAX(0,N(F377)-N(D378)-N(E378)),"")</f>
      </c>
    </row>
    <row r="379">
      <c r="A379" s="1">
        <f>IF(N(F378)&gt;0.005,369,"")</f>
      </c>
      <c r="B379" s="2">
        <f>IF(N(F378)&gt;0.005,MIN($B$7,N(F378)*(1+$B$5/12)),"")</f>
      </c>
      <c r="C379" s="2">
        <f>IF(N(F378)&gt;0.005,N(F378)*$B$5/12,"")</f>
      </c>
      <c r="D379" s="2">
        <f>IF(N(F378)&gt;0.005,N(B379)-N(C379),"")</f>
      </c>
      <c r="E379" s="3">
        <v>0</v>
      </c>
      <c r="F379" s="2">
        <f>IF(N(F378)&gt;0.005,MAX(0,N(F378)-N(D379)-N(E379)),"")</f>
      </c>
    </row>
    <row r="380">
      <c r="A380" s="1">
        <f>IF(N(F379)&gt;0.005,370,"")</f>
      </c>
      <c r="B380" s="2">
        <f>IF(N(F379)&gt;0.005,MIN($B$7,N(F379)*(1+$B$5/12)),"")</f>
      </c>
      <c r="C380" s="2">
        <f>IF(N(F379)&gt;0.005,N(F379)*$B$5/12,"")</f>
      </c>
      <c r="D380" s="2">
        <f>IF(N(F379)&gt;0.005,N(B380)-N(C380),"")</f>
      </c>
      <c r="E380" s="3">
        <v>0</v>
      </c>
      <c r="F380" s="2">
        <f>IF(N(F379)&gt;0.005,MAX(0,N(F379)-N(D380)-N(E380)),"")</f>
      </c>
    </row>
    <row r="381">
      <c r="A381" s="1">
        <f>IF(N(F380)&gt;0.005,371,"")</f>
      </c>
      <c r="B381" s="2">
        <f>IF(N(F380)&gt;0.005,MIN($B$7,N(F380)*(1+$B$5/12)),"")</f>
      </c>
      <c r="C381" s="2">
        <f>IF(N(F380)&gt;0.005,N(F380)*$B$5/12,"")</f>
      </c>
      <c r="D381" s="2">
        <f>IF(N(F380)&gt;0.005,N(B381)-N(C381),"")</f>
      </c>
      <c r="E381" s="3">
        <v>0</v>
      </c>
      <c r="F381" s="2">
        <f>IF(N(F380)&gt;0.005,MAX(0,N(F380)-N(D381)-N(E381)),"")</f>
      </c>
    </row>
    <row r="382">
      <c r="A382" s="1">
        <f>IF(N(F381)&gt;0.005,372,"")</f>
      </c>
      <c r="B382" s="2">
        <f>IF(N(F381)&gt;0.005,MIN($B$7,N(F381)*(1+$B$5/12)),"")</f>
      </c>
      <c r="C382" s="2">
        <f>IF(N(F381)&gt;0.005,N(F381)*$B$5/12,"")</f>
      </c>
      <c r="D382" s="2">
        <f>IF(N(F381)&gt;0.005,N(B382)-N(C382),"")</f>
      </c>
      <c r="E382" s="3">
        <v>0</v>
      </c>
      <c r="F382" s="2">
        <f>IF(N(F381)&gt;0.005,MAX(0,N(F381)-N(D382)-N(E382)),"")</f>
      </c>
    </row>
    <row r="383">
      <c r="A383" s="1">
        <f>IF(N(F382)&gt;0.005,373,"")</f>
      </c>
      <c r="B383" s="2">
        <f>IF(N(F382)&gt;0.005,MIN($B$7,N(F382)*(1+$B$5/12)),"")</f>
      </c>
      <c r="C383" s="2">
        <f>IF(N(F382)&gt;0.005,N(F382)*$B$5/12,"")</f>
      </c>
      <c r="D383" s="2">
        <f>IF(N(F382)&gt;0.005,N(B383)-N(C383),"")</f>
      </c>
      <c r="E383" s="3">
        <v>0</v>
      </c>
      <c r="F383" s="2">
        <f>IF(N(F382)&gt;0.005,MAX(0,N(F382)-N(D383)-N(E383)),"")</f>
      </c>
    </row>
    <row r="384">
      <c r="A384" s="1">
        <f>IF(N(F383)&gt;0.005,374,"")</f>
      </c>
      <c r="B384" s="2">
        <f>IF(N(F383)&gt;0.005,MIN($B$7,N(F383)*(1+$B$5/12)),"")</f>
      </c>
      <c r="C384" s="2">
        <f>IF(N(F383)&gt;0.005,N(F383)*$B$5/12,"")</f>
      </c>
      <c r="D384" s="2">
        <f>IF(N(F383)&gt;0.005,N(B384)-N(C384),"")</f>
      </c>
      <c r="E384" s="3">
        <v>0</v>
      </c>
      <c r="F384" s="2">
        <f>IF(N(F383)&gt;0.005,MAX(0,N(F383)-N(D384)-N(E384)),"")</f>
      </c>
    </row>
    <row r="385">
      <c r="A385" s="1">
        <f>IF(N(F384)&gt;0.005,375,"")</f>
      </c>
      <c r="B385" s="2">
        <f>IF(N(F384)&gt;0.005,MIN($B$7,N(F384)*(1+$B$5/12)),"")</f>
      </c>
      <c r="C385" s="2">
        <f>IF(N(F384)&gt;0.005,N(F384)*$B$5/12,"")</f>
      </c>
      <c r="D385" s="2">
        <f>IF(N(F384)&gt;0.005,N(B385)-N(C385),"")</f>
      </c>
      <c r="E385" s="3">
        <v>0</v>
      </c>
      <c r="F385" s="2">
        <f>IF(N(F384)&gt;0.005,MAX(0,N(F384)-N(D385)-N(E385)),"")</f>
      </c>
    </row>
    <row r="386">
      <c r="A386" s="1">
        <f>IF(N(F385)&gt;0.005,376,"")</f>
      </c>
      <c r="B386" s="2">
        <f>IF(N(F385)&gt;0.005,MIN($B$7,N(F385)*(1+$B$5/12)),"")</f>
      </c>
      <c r="C386" s="2">
        <f>IF(N(F385)&gt;0.005,N(F385)*$B$5/12,"")</f>
      </c>
      <c r="D386" s="2">
        <f>IF(N(F385)&gt;0.005,N(B386)-N(C386),"")</f>
      </c>
      <c r="E386" s="3">
        <v>0</v>
      </c>
      <c r="F386" s="2">
        <f>IF(N(F385)&gt;0.005,MAX(0,N(F385)-N(D386)-N(E386)),"")</f>
      </c>
    </row>
    <row r="387">
      <c r="A387" s="1">
        <f>IF(N(F386)&gt;0.005,377,"")</f>
      </c>
      <c r="B387" s="2">
        <f>IF(N(F386)&gt;0.005,MIN($B$7,N(F386)*(1+$B$5/12)),"")</f>
      </c>
      <c r="C387" s="2">
        <f>IF(N(F386)&gt;0.005,N(F386)*$B$5/12,"")</f>
      </c>
      <c r="D387" s="2">
        <f>IF(N(F386)&gt;0.005,N(B387)-N(C387),"")</f>
      </c>
      <c r="E387" s="3">
        <v>0</v>
      </c>
      <c r="F387" s="2">
        <f>IF(N(F386)&gt;0.005,MAX(0,N(F386)-N(D387)-N(E387)),"")</f>
      </c>
    </row>
    <row r="388">
      <c r="A388" s="1">
        <f>IF(N(F387)&gt;0.005,378,"")</f>
      </c>
      <c r="B388" s="2">
        <f>IF(N(F387)&gt;0.005,MIN($B$7,N(F387)*(1+$B$5/12)),"")</f>
      </c>
      <c r="C388" s="2">
        <f>IF(N(F387)&gt;0.005,N(F387)*$B$5/12,"")</f>
      </c>
      <c r="D388" s="2">
        <f>IF(N(F387)&gt;0.005,N(B388)-N(C388),"")</f>
      </c>
      <c r="E388" s="3">
        <v>0</v>
      </c>
      <c r="F388" s="2">
        <f>IF(N(F387)&gt;0.005,MAX(0,N(F387)-N(D388)-N(E388)),"")</f>
      </c>
    </row>
    <row r="389">
      <c r="A389" s="1">
        <f>IF(N(F388)&gt;0.005,379,"")</f>
      </c>
      <c r="B389" s="2">
        <f>IF(N(F388)&gt;0.005,MIN($B$7,N(F388)*(1+$B$5/12)),"")</f>
      </c>
      <c r="C389" s="2">
        <f>IF(N(F388)&gt;0.005,N(F388)*$B$5/12,"")</f>
      </c>
      <c r="D389" s="2">
        <f>IF(N(F388)&gt;0.005,N(B389)-N(C389),"")</f>
      </c>
      <c r="E389" s="3">
        <v>0</v>
      </c>
      <c r="F389" s="2">
        <f>IF(N(F388)&gt;0.005,MAX(0,N(F388)-N(D389)-N(E389)),"")</f>
      </c>
    </row>
    <row r="390">
      <c r="A390" s="1">
        <f>IF(N(F389)&gt;0.005,380,"")</f>
      </c>
      <c r="B390" s="2">
        <f>IF(N(F389)&gt;0.005,MIN($B$7,N(F389)*(1+$B$5/12)),"")</f>
      </c>
      <c r="C390" s="2">
        <f>IF(N(F389)&gt;0.005,N(F389)*$B$5/12,"")</f>
      </c>
      <c r="D390" s="2">
        <f>IF(N(F389)&gt;0.005,N(B390)-N(C390),"")</f>
      </c>
      <c r="E390" s="3">
        <v>0</v>
      </c>
      <c r="F390" s="2">
        <f>IF(N(F389)&gt;0.005,MAX(0,N(F389)-N(D390)-N(E390)),"")</f>
      </c>
    </row>
    <row r="391">
      <c r="A391" s="1">
        <f>IF(N(F390)&gt;0.005,381,"")</f>
      </c>
      <c r="B391" s="2">
        <f>IF(N(F390)&gt;0.005,MIN($B$7,N(F390)*(1+$B$5/12)),"")</f>
      </c>
      <c r="C391" s="2">
        <f>IF(N(F390)&gt;0.005,N(F390)*$B$5/12,"")</f>
      </c>
      <c r="D391" s="2">
        <f>IF(N(F390)&gt;0.005,N(B391)-N(C391),"")</f>
      </c>
      <c r="E391" s="3">
        <v>0</v>
      </c>
      <c r="F391" s="2">
        <f>IF(N(F390)&gt;0.005,MAX(0,N(F390)-N(D391)-N(E391)),"")</f>
      </c>
    </row>
    <row r="392">
      <c r="A392" s="1">
        <f>IF(N(F391)&gt;0.005,382,"")</f>
      </c>
      <c r="B392" s="2">
        <f>IF(N(F391)&gt;0.005,MIN($B$7,N(F391)*(1+$B$5/12)),"")</f>
      </c>
      <c r="C392" s="2">
        <f>IF(N(F391)&gt;0.005,N(F391)*$B$5/12,"")</f>
      </c>
      <c r="D392" s="2">
        <f>IF(N(F391)&gt;0.005,N(B392)-N(C392),"")</f>
      </c>
      <c r="E392" s="3">
        <v>0</v>
      </c>
      <c r="F392" s="2">
        <f>IF(N(F391)&gt;0.005,MAX(0,N(F391)-N(D392)-N(E392)),"")</f>
      </c>
    </row>
    <row r="393">
      <c r="A393" s="1">
        <f>IF(N(F392)&gt;0.005,383,"")</f>
      </c>
      <c r="B393" s="2">
        <f>IF(N(F392)&gt;0.005,MIN($B$7,N(F392)*(1+$B$5/12)),"")</f>
      </c>
      <c r="C393" s="2">
        <f>IF(N(F392)&gt;0.005,N(F392)*$B$5/12,"")</f>
      </c>
      <c r="D393" s="2">
        <f>IF(N(F392)&gt;0.005,N(B393)-N(C393),"")</f>
      </c>
      <c r="E393" s="3">
        <v>0</v>
      </c>
      <c r="F393" s="2">
        <f>IF(N(F392)&gt;0.005,MAX(0,N(F392)-N(D393)-N(E393)),"")</f>
      </c>
    </row>
    <row r="394">
      <c r="A394" s="1">
        <f>IF(N(F393)&gt;0.005,384,"")</f>
      </c>
      <c r="B394" s="2">
        <f>IF(N(F393)&gt;0.005,MIN($B$7,N(F393)*(1+$B$5/12)),"")</f>
      </c>
      <c r="C394" s="2">
        <f>IF(N(F393)&gt;0.005,N(F393)*$B$5/12,"")</f>
      </c>
      <c r="D394" s="2">
        <f>IF(N(F393)&gt;0.005,N(B394)-N(C394),"")</f>
      </c>
      <c r="E394" s="3">
        <v>0</v>
      </c>
      <c r="F394" s="2">
        <f>IF(N(F393)&gt;0.005,MAX(0,N(F393)-N(D394)-N(E394)),"")</f>
      </c>
    </row>
    <row r="395">
      <c r="A395" s="1">
        <f>IF(N(F394)&gt;0.005,385,"")</f>
      </c>
      <c r="B395" s="2">
        <f>IF(N(F394)&gt;0.005,MIN($B$7,N(F394)*(1+$B$5/12)),"")</f>
      </c>
      <c r="C395" s="2">
        <f>IF(N(F394)&gt;0.005,N(F394)*$B$5/12,"")</f>
      </c>
      <c r="D395" s="2">
        <f>IF(N(F394)&gt;0.005,N(B395)-N(C395),"")</f>
      </c>
      <c r="E395" s="3">
        <v>0</v>
      </c>
      <c r="F395" s="2">
        <f>IF(N(F394)&gt;0.005,MAX(0,N(F394)-N(D395)-N(E395)),"")</f>
      </c>
    </row>
    <row r="396">
      <c r="A396" s="1">
        <f>IF(N(F395)&gt;0.005,386,"")</f>
      </c>
      <c r="B396" s="2">
        <f>IF(N(F395)&gt;0.005,MIN($B$7,N(F395)*(1+$B$5/12)),"")</f>
      </c>
      <c r="C396" s="2">
        <f>IF(N(F395)&gt;0.005,N(F395)*$B$5/12,"")</f>
      </c>
      <c r="D396" s="2">
        <f>IF(N(F395)&gt;0.005,N(B396)-N(C396),"")</f>
      </c>
      <c r="E396" s="3">
        <v>0</v>
      </c>
      <c r="F396" s="2">
        <f>IF(N(F395)&gt;0.005,MAX(0,N(F395)-N(D396)-N(E396)),"")</f>
      </c>
    </row>
    <row r="397">
      <c r="A397" s="1">
        <f>IF(N(F396)&gt;0.005,387,"")</f>
      </c>
      <c r="B397" s="2">
        <f>IF(N(F396)&gt;0.005,MIN($B$7,N(F396)*(1+$B$5/12)),"")</f>
      </c>
      <c r="C397" s="2">
        <f>IF(N(F396)&gt;0.005,N(F396)*$B$5/12,"")</f>
      </c>
      <c r="D397" s="2">
        <f>IF(N(F396)&gt;0.005,N(B397)-N(C397),"")</f>
      </c>
      <c r="E397" s="3">
        <v>0</v>
      </c>
      <c r="F397" s="2">
        <f>IF(N(F396)&gt;0.005,MAX(0,N(F396)-N(D397)-N(E397)),"")</f>
      </c>
    </row>
    <row r="398">
      <c r="A398" s="1">
        <f>IF(N(F397)&gt;0.005,388,"")</f>
      </c>
      <c r="B398" s="2">
        <f>IF(N(F397)&gt;0.005,MIN($B$7,N(F397)*(1+$B$5/12)),"")</f>
      </c>
      <c r="C398" s="2">
        <f>IF(N(F397)&gt;0.005,N(F397)*$B$5/12,"")</f>
      </c>
      <c r="D398" s="2">
        <f>IF(N(F397)&gt;0.005,N(B398)-N(C398),"")</f>
      </c>
      <c r="E398" s="3">
        <v>0</v>
      </c>
      <c r="F398" s="2">
        <f>IF(N(F397)&gt;0.005,MAX(0,N(F397)-N(D398)-N(E398)),"")</f>
      </c>
    </row>
    <row r="399">
      <c r="A399" s="1">
        <f>IF(N(F398)&gt;0.005,389,"")</f>
      </c>
      <c r="B399" s="2">
        <f>IF(N(F398)&gt;0.005,MIN($B$7,N(F398)*(1+$B$5/12)),"")</f>
      </c>
      <c r="C399" s="2">
        <f>IF(N(F398)&gt;0.005,N(F398)*$B$5/12,"")</f>
      </c>
      <c r="D399" s="2">
        <f>IF(N(F398)&gt;0.005,N(B399)-N(C399),"")</f>
      </c>
      <c r="E399" s="3">
        <v>0</v>
      </c>
      <c r="F399" s="2">
        <f>IF(N(F398)&gt;0.005,MAX(0,N(F398)-N(D399)-N(E399)),"")</f>
      </c>
    </row>
    <row r="400">
      <c r="A400" s="1">
        <f>IF(N(F399)&gt;0.005,390,"")</f>
      </c>
      <c r="B400" s="2">
        <f>IF(N(F399)&gt;0.005,MIN($B$7,N(F399)*(1+$B$5/12)),"")</f>
      </c>
      <c r="C400" s="2">
        <f>IF(N(F399)&gt;0.005,N(F399)*$B$5/12,"")</f>
      </c>
      <c r="D400" s="2">
        <f>IF(N(F399)&gt;0.005,N(B400)-N(C400),"")</f>
      </c>
      <c r="E400" s="3">
        <v>0</v>
      </c>
      <c r="F400" s="2">
        <f>IF(N(F399)&gt;0.005,MAX(0,N(F399)-N(D400)-N(E400)),"")</f>
      </c>
    </row>
    <row r="401">
      <c r="A401" s="1">
        <f>IF(N(F400)&gt;0.005,391,"")</f>
      </c>
      <c r="B401" s="2">
        <f>IF(N(F400)&gt;0.005,MIN($B$7,N(F400)*(1+$B$5/12)),"")</f>
      </c>
      <c r="C401" s="2">
        <f>IF(N(F400)&gt;0.005,N(F400)*$B$5/12,"")</f>
      </c>
      <c r="D401" s="2">
        <f>IF(N(F400)&gt;0.005,N(B401)-N(C401),"")</f>
      </c>
      <c r="E401" s="3">
        <v>0</v>
      </c>
      <c r="F401" s="2">
        <f>IF(N(F400)&gt;0.005,MAX(0,N(F400)-N(D401)-N(E401)),"")</f>
      </c>
    </row>
    <row r="402">
      <c r="A402" s="1">
        <f>IF(N(F401)&gt;0.005,392,"")</f>
      </c>
      <c r="B402" s="2">
        <f>IF(N(F401)&gt;0.005,MIN($B$7,N(F401)*(1+$B$5/12)),"")</f>
      </c>
      <c r="C402" s="2">
        <f>IF(N(F401)&gt;0.005,N(F401)*$B$5/12,"")</f>
      </c>
      <c r="D402" s="2">
        <f>IF(N(F401)&gt;0.005,N(B402)-N(C402),"")</f>
      </c>
      <c r="E402" s="3">
        <v>0</v>
      </c>
      <c r="F402" s="2">
        <f>IF(N(F401)&gt;0.005,MAX(0,N(F401)-N(D402)-N(E402)),"")</f>
      </c>
    </row>
    <row r="403">
      <c r="A403" s="1">
        <f>IF(N(F402)&gt;0.005,393,"")</f>
      </c>
      <c r="B403" s="2">
        <f>IF(N(F402)&gt;0.005,MIN($B$7,N(F402)*(1+$B$5/12)),"")</f>
      </c>
      <c r="C403" s="2">
        <f>IF(N(F402)&gt;0.005,N(F402)*$B$5/12,"")</f>
      </c>
      <c r="D403" s="2">
        <f>IF(N(F402)&gt;0.005,N(B403)-N(C403),"")</f>
      </c>
      <c r="E403" s="3">
        <v>0</v>
      </c>
      <c r="F403" s="2">
        <f>IF(N(F402)&gt;0.005,MAX(0,N(F402)-N(D403)-N(E403)),"")</f>
      </c>
    </row>
    <row r="404">
      <c r="A404" s="1">
        <f>IF(N(F403)&gt;0.005,394,"")</f>
      </c>
      <c r="B404" s="2">
        <f>IF(N(F403)&gt;0.005,MIN($B$7,N(F403)*(1+$B$5/12)),"")</f>
      </c>
      <c r="C404" s="2">
        <f>IF(N(F403)&gt;0.005,N(F403)*$B$5/12,"")</f>
      </c>
      <c r="D404" s="2">
        <f>IF(N(F403)&gt;0.005,N(B404)-N(C404),"")</f>
      </c>
      <c r="E404" s="3">
        <v>0</v>
      </c>
      <c r="F404" s="2">
        <f>IF(N(F403)&gt;0.005,MAX(0,N(F403)-N(D404)-N(E404)),"")</f>
      </c>
    </row>
    <row r="405">
      <c r="A405" s="1">
        <f>IF(N(F404)&gt;0.005,395,"")</f>
      </c>
      <c r="B405" s="2">
        <f>IF(N(F404)&gt;0.005,MIN($B$7,N(F404)*(1+$B$5/12)),"")</f>
      </c>
      <c r="C405" s="2">
        <f>IF(N(F404)&gt;0.005,N(F404)*$B$5/12,"")</f>
      </c>
      <c r="D405" s="2">
        <f>IF(N(F404)&gt;0.005,N(B405)-N(C405),"")</f>
      </c>
      <c r="E405" s="3">
        <v>0</v>
      </c>
      <c r="F405" s="2">
        <f>IF(N(F404)&gt;0.005,MAX(0,N(F404)-N(D405)-N(E405)),"")</f>
      </c>
    </row>
    <row r="406">
      <c r="A406" s="1">
        <f>IF(N(F405)&gt;0.005,396,"")</f>
      </c>
      <c r="B406" s="2">
        <f>IF(N(F405)&gt;0.005,MIN($B$7,N(F405)*(1+$B$5/12)),"")</f>
      </c>
      <c r="C406" s="2">
        <f>IF(N(F405)&gt;0.005,N(F405)*$B$5/12,"")</f>
      </c>
      <c r="D406" s="2">
        <f>IF(N(F405)&gt;0.005,N(B406)-N(C406),"")</f>
      </c>
      <c r="E406" s="3">
        <v>0</v>
      </c>
      <c r="F406" s="2">
        <f>IF(N(F405)&gt;0.005,MAX(0,N(F405)-N(D406)-N(E406)),"")</f>
      </c>
    </row>
    <row r="407">
      <c r="A407" s="1">
        <f>IF(N(F406)&gt;0.005,397,"")</f>
      </c>
      <c r="B407" s="2">
        <f>IF(N(F406)&gt;0.005,MIN($B$7,N(F406)*(1+$B$5/12)),"")</f>
      </c>
      <c r="C407" s="2">
        <f>IF(N(F406)&gt;0.005,N(F406)*$B$5/12,"")</f>
      </c>
      <c r="D407" s="2">
        <f>IF(N(F406)&gt;0.005,N(B407)-N(C407),"")</f>
      </c>
      <c r="E407" s="3">
        <v>0</v>
      </c>
      <c r="F407" s="2">
        <f>IF(N(F406)&gt;0.005,MAX(0,N(F406)-N(D407)-N(E407)),"")</f>
      </c>
    </row>
    <row r="408">
      <c r="A408" s="1">
        <f>IF(N(F407)&gt;0.005,398,"")</f>
      </c>
      <c r="B408" s="2">
        <f>IF(N(F407)&gt;0.005,MIN($B$7,N(F407)*(1+$B$5/12)),"")</f>
      </c>
      <c r="C408" s="2">
        <f>IF(N(F407)&gt;0.005,N(F407)*$B$5/12,"")</f>
      </c>
      <c r="D408" s="2">
        <f>IF(N(F407)&gt;0.005,N(B408)-N(C408),"")</f>
      </c>
      <c r="E408" s="3">
        <v>0</v>
      </c>
      <c r="F408" s="2">
        <f>IF(N(F407)&gt;0.005,MAX(0,N(F407)-N(D408)-N(E408)),"")</f>
      </c>
    </row>
    <row r="409">
      <c r="A409" s="1">
        <f>IF(N(F408)&gt;0.005,399,"")</f>
      </c>
      <c r="B409" s="2">
        <f>IF(N(F408)&gt;0.005,MIN($B$7,N(F408)*(1+$B$5/12)),"")</f>
      </c>
      <c r="C409" s="2">
        <f>IF(N(F408)&gt;0.005,N(F408)*$B$5/12,"")</f>
      </c>
      <c r="D409" s="2">
        <f>IF(N(F408)&gt;0.005,N(B409)-N(C409),"")</f>
      </c>
      <c r="E409" s="3">
        <v>0</v>
      </c>
      <c r="F409" s="2">
        <f>IF(N(F408)&gt;0.005,MAX(0,N(F408)-N(D409)-N(E409)),"")</f>
      </c>
    </row>
    <row r="410">
      <c r="A410" s="1">
        <f>IF(N(F409)&gt;0.005,400,"")</f>
      </c>
      <c r="B410" s="2">
        <f>IF(N(F409)&gt;0.005,MIN($B$7,N(F409)*(1+$B$5/12)),"")</f>
      </c>
      <c r="C410" s="2">
        <f>IF(N(F409)&gt;0.005,N(F409)*$B$5/12,"")</f>
      </c>
      <c r="D410" s="2">
        <f>IF(N(F409)&gt;0.005,N(B410)-N(C410),"")</f>
      </c>
      <c r="E410" s="3">
        <v>0</v>
      </c>
      <c r="F410" s="2">
        <f>IF(N(F409)&gt;0.005,MAX(0,N(F409)-N(D410)-N(E410)),"")</f>
      </c>
    </row>
    <row r="411">
      <c r="A411" s="1">
        <f>IF(N(F410)&gt;0.005,401,"")</f>
      </c>
      <c r="B411" s="2">
        <f>IF(N(F410)&gt;0.005,MIN($B$7,N(F410)*(1+$B$5/12)),"")</f>
      </c>
      <c r="C411" s="2">
        <f>IF(N(F410)&gt;0.005,N(F410)*$B$5/12,"")</f>
      </c>
      <c r="D411" s="2">
        <f>IF(N(F410)&gt;0.005,N(B411)-N(C411),"")</f>
      </c>
      <c r="E411" s="3">
        <v>0</v>
      </c>
      <c r="F411" s="2">
        <f>IF(N(F410)&gt;0.005,MAX(0,N(F410)-N(D411)-N(E411)),"")</f>
      </c>
    </row>
    <row r="412">
      <c r="A412" s="1">
        <f>IF(N(F411)&gt;0.005,402,"")</f>
      </c>
      <c r="B412" s="2">
        <f>IF(N(F411)&gt;0.005,MIN($B$7,N(F411)*(1+$B$5/12)),"")</f>
      </c>
      <c r="C412" s="2">
        <f>IF(N(F411)&gt;0.005,N(F411)*$B$5/12,"")</f>
      </c>
      <c r="D412" s="2">
        <f>IF(N(F411)&gt;0.005,N(B412)-N(C412),"")</f>
      </c>
      <c r="E412" s="3">
        <v>0</v>
      </c>
      <c r="F412" s="2">
        <f>IF(N(F411)&gt;0.005,MAX(0,N(F411)-N(D412)-N(E412)),"")</f>
      </c>
    </row>
    <row r="413">
      <c r="A413" s="1">
        <f>IF(N(F412)&gt;0.005,403,"")</f>
      </c>
      <c r="B413" s="2">
        <f>IF(N(F412)&gt;0.005,MIN($B$7,N(F412)*(1+$B$5/12)),"")</f>
      </c>
      <c r="C413" s="2">
        <f>IF(N(F412)&gt;0.005,N(F412)*$B$5/12,"")</f>
      </c>
      <c r="D413" s="2">
        <f>IF(N(F412)&gt;0.005,N(B413)-N(C413),"")</f>
      </c>
      <c r="E413" s="3">
        <v>0</v>
      </c>
      <c r="F413" s="2">
        <f>IF(N(F412)&gt;0.005,MAX(0,N(F412)-N(D413)-N(E413)),"")</f>
      </c>
    </row>
    <row r="414">
      <c r="A414" s="1">
        <f>IF(N(F413)&gt;0.005,404,"")</f>
      </c>
      <c r="B414" s="2">
        <f>IF(N(F413)&gt;0.005,MIN($B$7,N(F413)*(1+$B$5/12)),"")</f>
      </c>
      <c r="C414" s="2">
        <f>IF(N(F413)&gt;0.005,N(F413)*$B$5/12,"")</f>
      </c>
      <c r="D414" s="2">
        <f>IF(N(F413)&gt;0.005,N(B414)-N(C414),"")</f>
      </c>
      <c r="E414" s="3">
        <v>0</v>
      </c>
      <c r="F414" s="2">
        <f>IF(N(F413)&gt;0.005,MAX(0,N(F413)-N(D414)-N(E414)),"")</f>
      </c>
    </row>
    <row r="415">
      <c r="A415" s="1">
        <f>IF(N(F414)&gt;0.005,405,"")</f>
      </c>
      <c r="B415" s="2">
        <f>IF(N(F414)&gt;0.005,MIN($B$7,N(F414)*(1+$B$5/12)),"")</f>
      </c>
      <c r="C415" s="2">
        <f>IF(N(F414)&gt;0.005,N(F414)*$B$5/12,"")</f>
      </c>
      <c r="D415" s="2">
        <f>IF(N(F414)&gt;0.005,N(B415)-N(C415),"")</f>
      </c>
      <c r="E415" s="3">
        <v>0</v>
      </c>
      <c r="F415" s="2">
        <f>IF(N(F414)&gt;0.005,MAX(0,N(F414)-N(D415)-N(E415)),"")</f>
      </c>
    </row>
    <row r="416">
      <c r="A416" s="1">
        <f>IF(N(F415)&gt;0.005,406,"")</f>
      </c>
      <c r="B416" s="2">
        <f>IF(N(F415)&gt;0.005,MIN($B$7,N(F415)*(1+$B$5/12)),"")</f>
      </c>
      <c r="C416" s="2">
        <f>IF(N(F415)&gt;0.005,N(F415)*$B$5/12,"")</f>
      </c>
      <c r="D416" s="2">
        <f>IF(N(F415)&gt;0.005,N(B416)-N(C416),"")</f>
      </c>
      <c r="E416" s="3">
        <v>0</v>
      </c>
      <c r="F416" s="2">
        <f>IF(N(F415)&gt;0.005,MAX(0,N(F415)-N(D416)-N(E416)),"")</f>
      </c>
    </row>
    <row r="417">
      <c r="A417" s="1">
        <f>IF(N(F416)&gt;0.005,407,"")</f>
      </c>
      <c r="B417" s="2">
        <f>IF(N(F416)&gt;0.005,MIN($B$7,N(F416)*(1+$B$5/12)),"")</f>
      </c>
      <c r="C417" s="2">
        <f>IF(N(F416)&gt;0.005,N(F416)*$B$5/12,"")</f>
      </c>
      <c r="D417" s="2">
        <f>IF(N(F416)&gt;0.005,N(B417)-N(C417),"")</f>
      </c>
      <c r="E417" s="3">
        <v>0</v>
      </c>
      <c r="F417" s="2">
        <f>IF(N(F416)&gt;0.005,MAX(0,N(F416)-N(D417)-N(E417)),"")</f>
      </c>
    </row>
    <row r="418">
      <c r="A418" s="1">
        <f>IF(N(F417)&gt;0.005,408,"")</f>
      </c>
      <c r="B418" s="2">
        <f>IF(N(F417)&gt;0.005,MIN($B$7,N(F417)*(1+$B$5/12)),"")</f>
      </c>
      <c r="C418" s="2">
        <f>IF(N(F417)&gt;0.005,N(F417)*$B$5/12,"")</f>
      </c>
      <c r="D418" s="2">
        <f>IF(N(F417)&gt;0.005,N(B418)-N(C418),"")</f>
      </c>
      <c r="E418" s="3">
        <v>0</v>
      </c>
      <c r="F418" s="2">
        <f>IF(N(F417)&gt;0.005,MAX(0,N(F417)-N(D418)-N(E418)),"")</f>
      </c>
    </row>
    <row r="419">
      <c r="A419" s="1">
        <f>IF(N(F418)&gt;0.005,409,"")</f>
      </c>
      <c r="B419" s="2">
        <f>IF(N(F418)&gt;0.005,MIN($B$7,N(F418)*(1+$B$5/12)),"")</f>
      </c>
      <c r="C419" s="2">
        <f>IF(N(F418)&gt;0.005,N(F418)*$B$5/12,"")</f>
      </c>
      <c r="D419" s="2">
        <f>IF(N(F418)&gt;0.005,N(B419)-N(C419),"")</f>
      </c>
      <c r="E419" s="3">
        <v>0</v>
      </c>
      <c r="F419" s="2">
        <f>IF(N(F418)&gt;0.005,MAX(0,N(F418)-N(D419)-N(E419)),"")</f>
      </c>
    </row>
    <row r="420">
      <c r="A420" s="1">
        <f>IF(N(F419)&gt;0.005,410,"")</f>
      </c>
      <c r="B420" s="2">
        <f>IF(N(F419)&gt;0.005,MIN($B$7,N(F419)*(1+$B$5/12)),"")</f>
      </c>
      <c r="C420" s="2">
        <f>IF(N(F419)&gt;0.005,N(F419)*$B$5/12,"")</f>
      </c>
      <c r="D420" s="2">
        <f>IF(N(F419)&gt;0.005,N(B420)-N(C420),"")</f>
      </c>
      <c r="E420" s="3">
        <v>0</v>
      </c>
      <c r="F420" s="2">
        <f>IF(N(F419)&gt;0.005,MAX(0,N(F419)-N(D420)-N(E420)),"")</f>
      </c>
    </row>
    <row r="421">
      <c r="A421" s="1">
        <f>IF(N(F420)&gt;0.005,411,"")</f>
      </c>
      <c r="B421" s="2">
        <f>IF(N(F420)&gt;0.005,MIN($B$7,N(F420)*(1+$B$5/12)),"")</f>
      </c>
      <c r="C421" s="2">
        <f>IF(N(F420)&gt;0.005,N(F420)*$B$5/12,"")</f>
      </c>
      <c r="D421" s="2">
        <f>IF(N(F420)&gt;0.005,N(B421)-N(C421),"")</f>
      </c>
      <c r="E421" s="3">
        <v>0</v>
      </c>
      <c r="F421" s="2">
        <f>IF(N(F420)&gt;0.005,MAX(0,N(F420)-N(D421)-N(E421)),"")</f>
      </c>
    </row>
    <row r="422">
      <c r="A422" s="1">
        <f>IF(N(F421)&gt;0.005,412,"")</f>
      </c>
      <c r="B422" s="2">
        <f>IF(N(F421)&gt;0.005,MIN($B$7,N(F421)*(1+$B$5/12)),"")</f>
      </c>
      <c r="C422" s="2">
        <f>IF(N(F421)&gt;0.005,N(F421)*$B$5/12,"")</f>
      </c>
      <c r="D422" s="2">
        <f>IF(N(F421)&gt;0.005,N(B422)-N(C422),"")</f>
      </c>
      <c r="E422" s="3">
        <v>0</v>
      </c>
      <c r="F422" s="2">
        <f>IF(N(F421)&gt;0.005,MAX(0,N(F421)-N(D422)-N(E422)),"")</f>
      </c>
    </row>
    <row r="423">
      <c r="A423" s="1">
        <f>IF(N(F422)&gt;0.005,413,"")</f>
      </c>
      <c r="B423" s="2">
        <f>IF(N(F422)&gt;0.005,MIN($B$7,N(F422)*(1+$B$5/12)),"")</f>
      </c>
      <c r="C423" s="2">
        <f>IF(N(F422)&gt;0.005,N(F422)*$B$5/12,"")</f>
      </c>
      <c r="D423" s="2">
        <f>IF(N(F422)&gt;0.005,N(B423)-N(C423),"")</f>
      </c>
      <c r="E423" s="3">
        <v>0</v>
      </c>
      <c r="F423" s="2">
        <f>IF(N(F422)&gt;0.005,MAX(0,N(F422)-N(D423)-N(E423)),"")</f>
      </c>
    </row>
    <row r="424">
      <c r="A424" s="1">
        <f>IF(N(F423)&gt;0.005,414,"")</f>
      </c>
      <c r="B424" s="2">
        <f>IF(N(F423)&gt;0.005,MIN($B$7,N(F423)*(1+$B$5/12)),"")</f>
      </c>
      <c r="C424" s="2">
        <f>IF(N(F423)&gt;0.005,N(F423)*$B$5/12,"")</f>
      </c>
      <c r="D424" s="2">
        <f>IF(N(F423)&gt;0.005,N(B424)-N(C424),"")</f>
      </c>
      <c r="E424" s="3">
        <v>0</v>
      </c>
      <c r="F424" s="2">
        <f>IF(N(F423)&gt;0.005,MAX(0,N(F423)-N(D424)-N(E424)),"")</f>
      </c>
    </row>
    <row r="425">
      <c r="A425" s="1">
        <f>IF(N(F424)&gt;0.005,415,"")</f>
      </c>
      <c r="B425" s="2">
        <f>IF(N(F424)&gt;0.005,MIN($B$7,N(F424)*(1+$B$5/12)),"")</f>
      </c>
      <c r="C425" s="2">
        <f>IF(N(F424)&gt;0.005,N(F424)*$B$5/12,"")</f>
      </c>
      <c r="D425" s="2">
        <f>IF(N(F424)&gt;0.005,N(B425)-N(C425),"")</f>
      </c>
      <c r="E425" s="3">
        <v>0</v>
      </c>
      <c r="F425" s="2">
        <f>IF(N(F424)&gt;0.005,MAX(0,N(F424)-N(D425)-N(E425)),"")</f>
      </c>
    </row>
    <row r="426">
      <c r="A426" s="1">
        <f>IF(N(F425)&gt;0.005,416,"")</f>
      </c>
      <c r="B426" s="2">
        <f>IF(N(F425)&gt;0.005,MIN($B$7,N(F425)*(1+$B$5/12)),"")</f>
      </c>
      <c r="C426" s="2">
        <f>IF(N(F425)&gt;0.005,N(F425)*$B$5/12,"")</f>
      </c>
      <c r="D426" s="2">
        <f>IF(N(F425)&gt;0.005,N(B426)-N(C426),"")</f>
      </c>
      <c r="E426" s="3">
        <v>0</v>
      </c>
      <c r="F426" s="2">
        <f>IF(N(F425)&gt;0.005,MAX(0,N(F425)-N(D426)-N(E426)),"")</f>
      </c>
    </row>
    <row r="427">
      <c r="A427" s="1">
        <f>IF(N(F426)&gt;0.005,417,"")</f>
      </c>
      <c r="B427" s="2">
        <f>IF(N(F426)&gt;0.005,MIN($B$7,N(F426)*(1+$B$5/12)),"")</f>
      </c>
      <c r="C427" s="2">
        <f>IF(N(F426)&gt;0.005,N(F426)*$B$5/12,"")</f>
      </c>
      <c r="D427" s="2">
        <f>IF(N(F426)&gt;0.005,N(B427)-N(C427),"")</f>
      </c>
      <c r="E427" s="3">
        <v>0</v>
      </c>
      <c r="F427" s="2">
        <f>IF(N(F426)&gt;0.005,MAX(0,N(F426)-N(D427)-N(E427)),"")</f>
      </c>
    </row>
    <row r="428">
      <c r="A428" s="1">
        <f>IF(N(F427)&gt;0.005,418,"")</f>
      </c>
      <c r="B428" s="2">
        <f>IF(N(F427)&gt;0.005,MIN($B$7,N(F427)*(1+$B$5/12)),"")</f>
      </c>
      <c r="C428" s="2">
        <f>IF(N(F427)&gt;0.005,N(F427)*$B$5/12,"")</f>
      </c>
      <c r="D428" s="2">
        <f>IF(N(F427)&gt;0.005,N(B428)-N(C428),"")</f>
      </c>
      <c r="E428" s="3">
        <v>0</v>
      </c>
      <c r="F428" s="2">
        <f>IF(N(F427)&gt;0.005,MAX(0,N(F427)-N(D428)-N(E428)),"")</f>
      </c>
    </row>
    <row r="429">
      <c r="A429" s="1">
        <f>IF(N(F428)&gt;0.005,419,"")</f>
      </c>
      <c r="B429" s="2">
        <f>IF(N(F428)&gt;0.005,MIN($B$7,N(F428)*(1+$B$5/12)),"")</f>
      </c>
      <c r="C429" s="2">
        <f>IF(N(F428)&gt;0.005,N(F428)*$B$5/12,"")</f>
      </c>
      <c r="D429" s="2">
        <f>IF(N(F428)&gt;0.005,N(B429)-N(C429),"")</f>
      </c>
      <c r="E429" s="3">
        <v>0</v>
      </c>
      <c r="F429" s="2">
        <f>IF(N(F428)&gt;0.005,MAX(0,N(F428)-N(D429)-N(E429)),"")</f>
      </c>
    </row>
    <row r="430">
      <c r="A430" s="1">
        <f>IF(N(F429)&gt;0.005,420,"")</f>
      </c>
      <c r="B430" s="2">
        <f>IF(N(F429)&gt;0.005,MIN($B$7,N(F429)*(1+$B$5/12)),"")</f>
      </c>
      <c r="C430" s="2">
        <f>IF(N(F429)&gt;0.005,N(F429)*$B$5/12,"")</f>
      </c>
      <c r="D430" s="2">
        <f>IF(N(F429)&gt;0.005,N(B430)-N(C430),"")</f>
      </c>
      <c r="E430" s="3">
        <v>0</v>
      </c>
      <c r="F430" s="2">
        <f>IF(N(F429)&gt;0.005,MAX(0,N(F429)-N(D430)-N(E430)),"")</f>
      </c>
    </row>
    <row r="431">
      <c r="A431" s="1">
        <f>IF(N(F430)&gt;0.005,421,"")</f>
      </c>
      <c r="B431" s="2">
        <f>IF(N(F430)&gt;0.005,MIN($B$7,N(F430)*(1+$B$5/12)),"")</f>
      </c>
      <c r="C431" s="2">
        <f>IF(N(F430)&gt;0.005,N(F430)*$B$5/12,"")</f>
      </c>
      <c r="D431" s="2">
        <f>IF(N(F430)&gt;0.005,N(B431)-N(C431),"")</f>
      </c>
      <c r="E431" s="3">
        <v>0</v>
      </c>
      <c r="F431" s="2">
        <f>IF(N(F430)&gt;0.005,MAX(0,N(F430)-N(D431)-N(E431)),"")</f>
      </c>
    </row>
    <row r="432">
      <c r="A432" s="1">
        <f>IF(N(F431)&gt;0.005,422,"")</f>
      </c>
      <c r="B432" s="2">
        <f>IF(N(F431)&gt;0.005,MIN($B$7,N(F431)*(1+$B$5/12)),"")</f>
      </c>
      <c r="C432" s="2">
        <f>IF(N(F431)&gt;0.005,N(F431)*$B$5/12,"")</f>
      </c>
      <c r="D432" s="2">
        <f>IF(N(F431)&gt;0.005,N(B432)-N(C432),"")</f>
      </c>
      <c r="E432" s="3">
        <v>0</v>
      </c>
      <c r="F432" s="2">
        <f>IF(N(F431)&gt;0.005,MAX(0,N(F431)-N(D432)-N(E432)),"")</f>
      </c>
    </row>
    <row r="433">
      <c r="A433" s="1">
        <f>IF(N(F432)&gt;0.005,423,"")</f>
      </c>
      <c r="B433" s="2">
        <f>IF(N(F432)&gt;0.005,MIN($B$7,N(F432)*(1+$B$5/12)),"")</f>
      </c>
      <c r="C433" s="2">
        <f>IF(N(F432)&gt;0.005,N(F432)*$B$5/12,"")</f>
      </c>
      <c r="D433" s="2">
        <f>IF(N(F432)&gt;0.005,N(B433)-N(C433),"")</f>
      </c>
      <c r="E433" s="3">
        <v>0</v>
      </c>
      <c r="F433" s="2">
        <f>IF(N(F432)&gt;0.005,MAX(0,N(F432)-N(D433)-N(E433)),"")</f>
      </c>
    </row>
    <row r="434">
      <c r="A434" s="1">
        <f>IF(N(F433)&gt;0.005,424,"")</f>
      </c>
      <c r="B434" s="2">
        <f>IF(N(F433)&gt;0.005,MIN($B$7,N(F433)*(1+$B$5/12)),"")</f>
      </c>
      <c r="C434" s="2">
        <f>IF(N(F433)&gt;0.005,N(F433)*$B$5/12,"")</f>
      </c>
      <c r="D434" s="2">
        <f>IF(N(F433)&gt;0.005,N(B434)-N(C434),"")</f>
      </c>
      <c r="E434" s="3">
        <v>0</v>
      </c>
      <c r="F434" s="2">
        <f>IF(N(F433)&gt;0.005,MAX(0,N(F433)-N(D434)-N(E434)),"")</f>
      </c>
    </row>
    <row r="435">
      <c r="A435" s="1">
        <f>IF(N(F434)&gt;0.005,425,"")</f>
      </c>
      <c r="B435" s="2">
        <f>IF(N(F434)&gt;0.005,MIN($B$7,N(F434)*(1+$B$5/12)),"")</f>
      </c>
      <c r="C435" s="2">
        <f>IF(N(F434)&gt;0.005,N(F434)*$B$5/12,"")</f>
      </c>
      <c r="D435" s="2">
        <f>IF(N(F434)&gt;0.005,N(B435)-N(C435),"")</f>
      </c>
      <c r="E435" s="3">
        <v>0</v>
      </c>
      <c r="F435" s="2">
        <f>IF(N(F434)&gt;0.005,MAX(0,N(F434)-N(D435)-N(E435)),"")</f>
      </c>
    </row>
    <row r="436">
      <c r="A436" s="1">
        <f>IF(N(F435)&gt;0.005,426,"")</f>
      </c>
      <c r="B436" s="2">
        <f>IF(N(F435)&gt;0.005,MIN($B$7,N(F435)*(1+$B$5/12)),"")</f>
      </c>
      <c r="C436" s="2">
        <f>IF(N(F435)&gt;0.005,N(F435)*$B$5/12,"")</f>
      </c>
      <c r="D436" s="2">
        <f>IF(N(F435)&gt;0.005,N(B436)-N(C436),"")</f>
      </c>
      <c r="E436" s="3">
        <v>0</v>
      </c>
      <c r="F436" s="2">
        <f>IF(N(F435)&gt;0.005,MAX(0,N(F435)-N(D436)-N(E436)),"")</f>
      </c>
    </row>
    <row r="437">
      <c r="A437" s="1">
        <f>IF(N(F436)&gt;0.005,427,"")</f>
      </c>
      <c r="B437" s="2">
        <f>IF(N(F436)&gt;0.005,MIN($B$7,N(F436)*(1+$B$5/12)),"")</f>
      </c>
      <c r="C437" s="2">
        <f>IF(N(F436)&gt;0.005,N(F436)*$B$5/12,"")</f>
      </c>
      <c r="D437" s="2">
        <f>IF(N(F436)&gt;0.005,N(B437)-N(C437),"")</f>
      </c>
      <c r="E437" s="3">
        <v>0</v>
      </c>
      <c r="F437" s="2">
        <f>IF(N(F436)&gt;0.005,MAX(0,N(F436)-N(D437)-N(E437)),"")</f>
      </c>
    </row>
    <row r="438">
      <c r="A438" s="1">
        <f>IF(N(F437)&gt;0.005,428,"")</f>
      </c>
      <c r="B438" s="2">
        <f>IF(N(F437)&gt;0.005,MIN($B$7,N(F437)*(1+$B$5/12)),"")</f>
      </c>
      <c r="C438" s="2">
        <f>IF(N(F437)&gt;0.005,N(F437)*$B$5/12,"")</f>
      </c>
      <c r="D438" s="2">
        <f>IF(N(F437)&gt;0.005,N(B438)-N(C438),"")</f>
      </c>
      <c r="E438" s="3">
        <v>0</v>
      </c>
      <c r="F438" s="2">
        <f>IF(N(F437)&gt;0.005,MAX(0,N(F437)-N(D438)-N(E438)),"")</f>
      </c>
    </row>
    <row r="439">
      <c r="A439" s="1">
        <f>IF(N(F438)&gt;0.005,429,"")</f>
      </c>
      <c r="B439" s="2">
        <f>IF(N(F438)&gt;0.005,MIN($B$7,N(F438)*(1+$B$5/12)),"")</f>
      </c>
      <c r="C439" s="2">
        <f>IF(N(F438)&gt;0.005,N(F438)*$B$5/12,"")</f>
      </c>
      <c r="D439" s="2">
        <f>IF(N(F438)&gt;0.005,N(B439)-N(C439),"")</f>
      </c>
      <c r="E439" s="3">
        <v>0</v>
      </c>
      <c r="F439" s="2">
        <f>IF(N(F438)&gt;0.005,MAX(0,N(F438)-N(D439)-N(E439)),"")</f>
      </c>
    </row>
    <row r="440">
      <c r="A440" s="1">
        <f>IF(N(F439)&gt;0.005,430,"")</f>
      </c>
      <c r="B440" s="2">
        <f>IF(N(F439)&gt;0.005,MIN($B$7,N(F439)*(1+$B$5/12)),"")</f>
      </c>
      <c r="C440" s="2">
        <f>IF(N(F439)&gt;0.005,N(F439)*$B$5/12,"")</f>
      </c>
      <c r="D440" s="2">
        <f>IF(N(F439)&gt;0.005,N(B440)-N(C440),"")</f>
      </c>
      <c r="E440" s="3">
        <v>0</v>
      </c>
      <c r="F440" s="2">
        <f>IF(N(F439)&gt;0.005,MAX(0,N(F439)-N(D440)-N(E440)),"")</f>
      </c>
    </row>
    <row r="441">
      <c r="A441" s="1">
        <f>IF(N(F440)&gt;0.005,431,"")</f>
      </c>
      <c r="B441" s="2">
        <f>IF(N(F440)&gt;0.005,MIN($B$7,N(F440)*(1+$B$5/12)),"")</f>
      </c>
      <c r="C441" s="2">
        <f>IF(N(F440)&gt;0.005,N(F440)*$B$5/12,"")</f>
      </c>
      <c r="D441" s="2">
        <f>IF(N(F440)&gt;0.005,N(B441)-N(C441),"")</f>
      </c>
      <c r="E441" s="3">
        <v>0</v>
      </c>
      <c r="F441" s="2">
        <f>IF(N(F440)&gt;0.005,MAX(0,N(F440)-N(D441)-N(E441)),"")</f>
      </c>
    </row>
    <row r="442">
      <c r="A442" s="1">
        <f>IF(N(F441)&gt;0.005,432,"")</f>
      </c>
      <c r="B442" s="2">
        <f>IF(N(F441)&gt;0.005,MIN($B$7,N(F441)*(1+$B$5/12)),"")</f>
      </c>
      <c r="C442" s="2">
        <f>IF(N(F441)&gt;0.005,N(F441)*$B$5/12,"")</f>
      </c>
      <c r="D442" s="2">
        <f>IF(N(F441)&gt;0.005,N(B442)-N(C442),"")</f>
      </c>
      <c r="E442" s="3">
        <v>0</v>
      </c>
      <c r="F442" s="2">
        <f>IF(N(F441)&gt;0.005,MAX(0,N(F441)-N(D442)-N(E442)),"")</f>
      </c>
    </row>
    <row r="443">
      <c r="A443" s="1">
        <f>IF(N(F442)&gt;0.005,433,"")</f>
      </c>
      <c r="B443" s="2">
        <f>IF(N(F442)&gt;0.005,MIN($B$7,N(F442)*(1+$B$5/12)),"")</f>
      </c>
      <c r="C443" s="2">
        <f>IF(N(F442)&gt;0.005,N(F442)*$B$5/12,"")</f>
      </c>
      <c r="D443" s="2">
        <f>IF(N(F442)&gt;0.005,N(B443)-N(C443),"")</f>
      </c>
      <c r="E443" s="3">
        <v>0</v>
      </c>
      <c r="F443" s="2">
        <f>IF(N(F442)&gt;0.005,MAX(0,N(F442)-N(D443)-N(E443)),"")</f>
      </c>
    </row>
    <row r="444">
      <c r="A444" s="1">
        <f>IF(N(F443)&gt;0.005,434,"")</f>
      </c>
      <c r="B444" s="2">
        <f>IF(N(F443)&gt;0.005,MIN($B$7,N(F443)*(1+$B$5/12)),"")</f>
      </c>
      <c r="C444" s="2">
        <f>IF(N(F443)&gt;0.005,N(F443)*$B$5/12,"")</f>
      </c>
      <c r="D444" s="2">
        <f>IF(N(F443)&gt;0.005,N(B444)-N(C444),"")</f>
      </c>
      <c r="E444" s="3">
        <v>0</v>
      </c>
      <c r="F444" s="2">
        <f>IF(N(F443)&gt;0.005,MAX(0,N(F443)-N(D444)-N(E444)),"")</f>
      </c>
    </row>
    <row r="445">
      <c r="A445" s="1">
        <f>IF(N(F444)&gt;0.005,435,"")</f>
      </c>
      <c r="B445" s="2">
        <f>IF(N(F444)&gt;0.005,MIN($B$7,N(F444)*(1+$B$5/12)),"")</f>
      </c>
      <c r="C445" s="2">
        <f>IF(N(F444)&gt;0.005,N(F444)*$B$5/12,"")</f>
      </c>
      <c r="D445" s="2">
        <f>IF(N(F444)&gt;0.005,N(B445)-N(C445),"")</f>
      </c>
      <c r="E445" s="3">
        <v>0</v>
      </c>
      <c r="F445" s="2">
        <f>IF(N(F444)&gt;0.005,MAX(0,N(F444)-N(D445)-N(E445)),"")</f>
      </c>
    </row>
    <row r="446">
      <c r="A446" s="1">
        <f>IF(N(F445)&gt;0.005,436,"")</f>
      </c>
      <c r="B446" s="2">
        <f>IF(N(F445)&gt;0.005,MIN($B$7,N(F445)*(1+$B$5/12)),"")</f>
      </c>
      <c r="C446" s="2">
        <f>IF(N(F445)&gt;0.005,N(F445)*$B$5/12,"")</f>
      </c>
      <c r="D446" s="2">
        <f>IF(N(F445)&gt;0.005,N(B446)-N(C446),"")</f>
      </c>
      <c r="E446" s="3">
        <v>0</v>
      </c>
      <c r="F446" s="2">
        <f>IF(N(F445)&gt;0.005,MAX(0,N(F445)-N(D446)-N(E446)),"")</f>
      </c>
    </row>
    <row r="447">
      <c r="A447" s="1">
        <f>IF(N(F446)&gt;0.005,437,"")</f>
      </c>
      <c r="B447" s="2">
        <f>IF(N(F446)&gt;0.005,MIN($B$7,N(F446)*(1+$B$5/12)),"")</f>
      </c>
      <c r="C447" s="2">
        <f>IF(N(F446)&gt;0.005,N(F446)*$B$5/12,"")</f>
      </c>
      <c r="D447" s="2">
        <f>IF(N(F446)&gt;0.005,N(B447)-N(C447),"")</f>
      </c>
      <c r="E447" s="3">
        <v>0</v>
      </c>
      <c r="F447" s="2">
        <f>IF(N(F446)&gt;0.005,MAX(0,N(F446)-N(D447)-N(E447)),"")</f>
      </c>
    </row>
    <row r="448">
      <c r="A448" s="1">
        <f>IF(N(F447)&gt;0.005,438,"")</f>
      </c>
      <c r="B448" s="2">
        <f>IF(N(F447)&gt;0.005,MIN($B$7,N(F447)*(1+$B$5/12)),"")</f>
      </c>
      <c r="C448" s="2">
        <f>IF(N(F447)&gt;0.005,N(F447)*$B$5/12,"")</f>
      </c>
      <c r="D448" s="2">
        <f>IF(N(F447)&gt;0.005,N(B448)-N(C448),"")</f>
      </c>
      <c r="E448" s="3">
        <v>0</v>
      </c>
      <c r="F448" s="2">
        <f>IF(N(F447)&gt;0.005,MAX(0,N(F447)-N(D448)-N(E448)),"")</f>
      </c>
    </row>
    <row r="449">
      <c r="A449" s="1">
        <f>IF(N(F448)&gt;0.005,439,"")</f>
      </c>
      <c r="B449" s="2">
        <f>IF(N(F448)&gt;0.005,MIN($B$7,N(F448)*(1+$B$5/12)),"")</f>
      </c>
      <c r="C449" s="2">
        <f>IF(N(F448)&gt;0.005,N(F448)*$B$5/12,"")</f>
      </c>
      <c r="D449" s="2">
        <f>IF(N(F448)&gt;0.005,N(B449)-N(C449),"")</f>
      </c>
      <c r="E449" s="3">
        <v>0</v>
      </c>
      <c r="F449" s="2">
        <f>IF(N(F448)&gt;0.005,MAX(0,N(F448)-N(D449)-N(E449)),"")</f>
      </c>
    </row>
    <row r="450">
      <c r="A450" s="1">
        <f>IF(N(F449)&gt;0.005,440,"")</f>
      </c>
      <c r="B450" s="2">
        <f>IF(N(F449)&gt;0.005,MIN($B$7,N(F449)*(1+$B$5/12)),"")</f>
      </c>
      <c r="C450" s="2">
        <f>IF(N(F449)&gt;0.005,N(F449)*$B$5/12,"")</f>
      </c>
      <c r="D450" s="2">
        <f>IF(N(F449)&gt;0.005,N(B450)-N(C450),"")</f>
      </c>
      <c r="E450" s="3">
        <v>0</v>
      </c>
      <c r="F450" s="2">
        <f>IF(N(F449)&gt;0.005,MAX(0,N(F449)-N(D450)-N(E450)),"")</f>
      </c>
    </row>
    <row r="451">
      <c r="A451" s="1">
        <f>IF(N(F450)&gt;0.005,441,"")</f>
      </c>
      <c r="B451" s="2">
        <f>IF(N(F450)&gt;0.005,MIN($B$7,N(F450)*(1+$B$5/12)),"")</f>
      </c>
      <c r="C451" s="2">
        <f>IF(N(F450)&gt;0.005,N(F450)*$B$5/12,"")</f>
      </c>
      <c r="D451" s="2">
        <f>IF(N(F450)&gt;0.005,N(B451)-N(C451),"")</f>
      </c>
      <c r="E451" s="3">
        <v>0</v>
      </c>
      <c r="F451" s="2">
        <f>IF(N(F450)&gt;0.005,MAX(0,N(F450)-N(D451)-N(E451)),"")</f>
      </c>
    </row>
    <row r="452">
      <c r="A452" s="1">
        <f>IF(N(F451)&gt;0.005,442,"")</f>
      </c>
      <c r="B452" s="2">
        <f>IF(N(F451)&gt;0.005,MIN($B$7,N(F451)*(1+$B$5/12)),"")</f>
      </c>
      <c r="C452" s="2">
        <f>IF(N(F451)&gt;0.005,N(F451)*$B$5/12,"")</f>
      </c>
      <c r="D452" s="2">
        <f>IF(N(F451)&gt;0.005,N(B452)-N(C452),"")</f>
      </c>
      <c r="E452" s="3">
        <v>0</v>
      </c>
      <c r="F452" s="2">
        <f>IF(N(F451)&gt;0.005,MAX(0,N(F451)-N(D452)-N(E452)),"")</f>
      </c>
    </row>
    <row r="453">
      <c r="A453" s="1">
        <f>IF(N(F452)&gt;0.005,443,"")</f>
      </c>
      <c r="B453" s="2">
        <f>IF(N(F452)&gt;0.005,MIN($B$7,N(F452)*(1+$B$5/12)),"")</f>
      </c>
      <c r="C453" s="2">
        <f>IF(N(F452)&gt;0.005,N(F452)*$B$5/12,"")</f>
      </c>
      <c r="D453" s="2">
        <f>IF(N(F452)&gt;0.005,N(B453)-N(C453),"")</f>
      </c>
      <c r="E453" s="3">
        <v>0</v>
      </c>
      <c r="F453" s="2">
        <f>IF(N(F452)&gt;0.005,MAX(0,N(F452)-N(D453)-N(E453)),"")</f>
      </c>
    </row>
    <row r="454">
      <c r="A454" s="1">
        <f>IF(N(F453)&gt;0.005,444,"")</f>
      </c>
      <c r="B454" s="2">
        <f>IF(N(F453)&gt;0.005,MIN($B$7,N(F453)*(1+$B$5/12)),"")</f>
      </c>
      <c r="C454" s="2">
        <f>IF(N(F453)&gt;0.005,N(F453)*$B$5/12,"")</f>
      </c>
      <c r="D454" s="2">
        <f>IF(N(F453)&gt;0.005,N(B454)-N(C454),"")</f>
      </c>
      <c r="E454" s="3">
        <v>0</v>
      </c>
      <c r="F454" s="2">
        <f>IF(N(F453)&gt;0.005,MAX(0,N(F453)-N(D454)-N(E454)),"")</f>
      </c>
    </row>
    <row r="455">
      <c r="A455" s="1">
        <f>IF(N(F454)&gt;0.005,445,"")</f>
      </c>
      <c r="B455" s="2">
        <f>IF(N(F454)&gt;0.005,MIN($B$7,N(F454)*(1+$B$5/12)),"")</f>
      </c>
      <c r="C455" s="2">
        <f>IF(N(F454)&gt;0.005,N(F454)*$B$5/12,"")</f>
      </c>
      <c r="D455" s="2">
        <f>IF(N(F454)&gt;0.005,N(B455)-N(C455),"")</f>
      </c>
      <c r="E455" s="3">
        <v>0</v>
      </c>
      <c r="F455" s="2">
        <f>IF(N(F454)&gt;0.005,MAX(0,N(F454)-N(D455)-N(E455)),"")</f>
      </c>
    </row>
    <row r="456">
      <c r="A456" s="1">
        <f>IF(N(F455)&gt;0.005,446,"")</f>
      </c>
      <c r="B456" s="2">
        <f>IF(N(F455)&gt;0.005,MIN($B$7,N(F455)*(1+$B$5/12)),"")</f>
      </c>
      <c r="C456" s="2">
        <f>IF(N(F455)&gt;0.005,N(F455)*$B$5/12,"")</f>
      </c>
      <c r="D456" s="2">
        <f>IF(N(F455)&gt;0.005,N(B456)-N(C456),"")</f>
      </c>
      <c r="E456" s="3">
        <v>0</v>
      </c>
      <c r="F456" s="2">
        <f>IF(N(F455)&gt;0.005,MAX(0,N(F455)-N(D456)-N(E456)),"")</f>
      </c>
    </row>
    <row r="457">
      <c r="A457" s="1">
        <f>IF(N(F456)&gt;0.005,447,"")</f>
      </c>
      <c r="B457" s="2">
        <f>IF(N(F456)&gt;0.005,MIN($B$7,N(F456)*(1+$B$5/12)),"")</f>
      </c>
      <c r="C457" s="2">
        <f>IF(N(F456)&gt;0.005,N(F456)*$B$5/12,"")</f>
      </c>
      <c r="D457" s="2">
        <f>IF(N(F456)&gt;0.005,N(B457)-N(C457),"")</f>
      </c>
      <c r="E457" s="3">
        <v>0</v>
      </c>
      <c r="F457" s="2">
        <f>IF(N(F456)&gt;0.005,MAX(0,N(F456)-N(D457)-N(E457)),"")</f>
      </c>
    </row>
    <row r="458">
      <c r="A458" s="1">
        <f>IF(N(F457)&gt;0.005,448,"")</f>
      </c>
      <c r="B458" s="2">
        <f>IF(N(F457)&gt;0.005,MIN($B$7,N(F457)*(1+$B$5/12)),"")</f>
      </c>
      <c r="C458" s="2">
        <f>IF(N(F457)&gt;0.005,N(F457)*$B$5/12,"")</f>
      </c>
      <c r="D458" s="2">
        <f>IF(N(F457)&gt;0.005,N(B458)-N(C458),"")</f>
      </c>
      <c r="E458" s="3">
        <v>0</v>
      </c>
      <c r="F458" s="2">
        <f>IF(N(F457)&gt;0.005,MAX(0,N(F457)-N(D458)-N(E458)),"")</f>
      </c>
    </row>
    <row r="459">
      <c r="A459" s="1">
        <f>IF(N(F458)&gt;0.005,449,"")</f>
      </c>
      <c r="B459" s="2">
        <f>IF(N(F458)&gt;0.005,MIN($B$7,N(F458)*(1+$B$5/12)),"")</f>
      </c>
      <c r="C459" s="2">
        <f>IF(N(F458)&gt;0.005,N(F458)*$B$5/12,"")</f>
      </c>
      <c r="D459" s="2">
        <f>IF(N(F458)&gt;0.005,N(B459)-N(C459),"")</f>
      </c>
      <c r="E459" s="3">
        <v>0</v>
      </c>
      <c r="F459" s="2">
        <f>IF(N(F458)&gt;0.005,MAX(0,N(F458)-N(D459)-N(E459)),"")</f>
      </c>
    </row>
    <row r="460">
      <c r="A460" s="1">
        <f>IF(N(F459)&gt;0.005,450,"")</f>
      </c>
      <c r="B460" s="2">
        <f>IF(N(F459)&gt;0.005,MIN($B$7,N(F459)*(1+$B$5/12)),"")</f>
      </c>
      <c r="C460" s="2">
        <f>IF(N(F459)&gt;0.005,N(F459)*$B$5/12,"")</f>
      </c>
      <c r="D460" s="2">
        <f>IF(N(F459)&gt;0.005,N(B460)-N(C460),"")</f>
      </c>
      <c r="E460" s="3">
        <v>0</v>
      </c>
      <c r="F460" s="2">
        <f>IF(N(F459)&gt;0.005,MAX(0,N(F459)-N(D460)-N(E460)),"")</f>
      </c>
    </row>
    <row r="461">
      <c r="A461" s="1">
        <f>IF(N(F460)&gt;0.005,451,"")</f>
      </c>
      <c r="B461" s="2">
        <f>IF(N(F460)&gt;0.005,MIN($B$7,N(F460)*(1+$B$5/12)),"")</f>
      </c>
      <c r="C461" s="2">
        <f>IF(N(F460)&gt;0.005,N(F460)*$B$5/12,"")</f>
      </c>
      <c r="D461" s="2">
        <f>IF(N(F460)&gt;0.005,N(B461)-N(C461),"")</f>
      </c>
      <c r="E461" s="3">
        <v>0</v>
      </c>
      <c r="F461" s="2">
        <f>IF(N(F460)&gt;0.005,MAX(0,N(F460)-N(D461)-N(E461)),"")</f>
      </c>
    </row>
    <row r="462">
      <c r="A462" s="1">
        <f>IF(N(F461)&gt;0.005,452,"")</f>
      </c>
      <c r="B462" s="2">
        <f>IF(N(F461)&gt;0.005,MIN($B$7,N(F461)*(1+$B$5/12)),"")</f>
      </c>
      <c r="C462" s="2">
        <f>IF(N(F461)&gt;0.005,N(F461)*$B$5/12,"")</f>
      </c>
      <c r="D462" s="2">
        <f>IF(N(F461)&gt;0.005,N(B462)-N(C462),"")</f>
      </c>
      <c r="E462" s="3">
        <v>0</v>
      </c>
      <c r="F462" s="2">
        <f>IF(N(F461)&gt;0.005,MAX(0,N(F461)-N(D462)-N(E462)),"")</f>
      </c>
    </row>
    <row r="463">
      <c r="A463" s="1">
        <f>IF(N(F462)&gt;0.005,453,"")</f>
      </c>
      <c r="B463" s="2">
        <f>IF(N(F462)&gt;0.005,MIN($B$7,N(F462)*(1+$B$5/12)),"")</f>
      </c>
      <c r="C463" s="2">
        <f>IF(N(F462)&gt;0.005,N(F462)*$B$5/12,"")</f>
      </c>
      <c r="D463" s="2">
        <f>IF(N(F462)&gt;0.005,N(B463)-N(C463),"")</f>
      </c>
      <c r="E463" s="3">
        <v>0</v>
      </c>
      <c r="F463" s="2">
        <f>IF(N(F462)&gt;0.005,MAX(0,N(F462)-N(D463)-N(E463)),"")</f>
      </c>
    </row>
    <row r="464">
      <c r="A464" s="1">
        <f>IF(N(F463)&gt;0.005,454,"")</f>
      </c>
      <c r="B464" s="2">
        <f>IF(N(F463)&gt;0.005,MIN($B$7,N(F463)*(1+$B$5/12)),"")</f>
      </c>
      <c r="C464" s="2">
        <f>IF(N(F463)&gt;0.005,N(F463)*$B$5/12,"")</f>
      </c>
      <c r="D464" s="2">
        <f>IF(N(F463)&gt;0.005,N(B464)-N(C464),"")</f>
      </c>
      <c r="E464" s="3">
        <v>0</v>
      </c>
      <c r="F464" s="2">
        <f>IF(N(F463)&gt;0.005,MAX(0,N(F463)-N(D464)-N(E464)),"")</f>
      </c>
    </row>
    <row r="465">
      <c r="A465" s="1">
        <f>IF(N(F464)&gt;0.005,455,"")</f>
      </c>
      <c r="B465" s="2">
        <f>IF(N(F464)&gt;0.005,MIN($B$7,N(F464)*(1+$B$5/12)),"")</f>
      </c>
      <c r="C465" s="2">
        <f>IF(N(F464)&gt;0.005,N(F464)*$B$5/12,"")</f>
      </c>
      <c r="D465" s="2">
        <f>IF(N(F464)&gt;0.005,N(B465)-N(C465),"")</f>
      </c>
      <c r="E465" s="3">
        <v>0</v>
      </c>
      <c r="F465" s="2">
        <f>IF(N(F464)&gt;0.005,MAX(0,N(F464)-N(D465)-N(E465)),"")</f>
      </c>
    </row>
    <row r="466">
      <c r="A466" s="1">
        <f>IF(N(F465)&gt;0.005,456,"")</f>
      </c>
      <c r="B466" s="2">
        <f>IF(N(F465)&gt;0.005,MIN($B$7,N(F465)*(1+$B$5/12)),"")</f>
      </c>
      <c r="C466" s="2">
        <f>IF(N(F465)&gt;0.005,N(F465)*$B$5/12,"")</f>
      </c>
      <c r="D466" s="2">
        <f>IF(N(F465)&gt;0.005,N(B466)-N(C466),"")</f>
      </c>
      <c r="E466" s="3">
        <v>0</v>
      </c>
      <c r="F466" s="2">
        <f>IF(N(F465)&gt;0.005,MAX(0,N(F465)-N(D466)-N(E466)),"")</f>
      </c>
    </row>
    <row r="467">
      <c r="A467" s="1">
        <f>IF(N(F466)&gt;0.005,457,"")</f>
      </c>
      <c r="B467" s="2">
        <f>IF(N(F466)&gt;0.005,MIN($B$7,N(F466)*(1+$B$5/12)),"")</f>
      </c>
      <c r="C467" s="2">
        <f>IF(N(F466)&gt;0.005,N(F466)*$B$5/12,"")</f>
      </c>
      <c r="D467" s="2">
        <f>IF(N(F466)&gt;0.005,N(B467)-N(C467),"")</f>
      </c>
      <c r="E467" s="3">
        <v>0</v>
      </c>
      <c r="F467" s="2">
        <f>IF(N(F466)&gt;0.005,MAX(0,N(F466)-N(D467)-N(E467)),"")</f>
      </c>
    </row>
    <row r="468">
      <c r="A468" s="1">
        <f>IF(N(F467)&gt;0.005,458,"")</f>
      </c>
      <c r="B468" s="2">
        <f>IF(N(F467)&gt;0.005,MIN($B$7,N(F467)*(1+$B$5/12)),"")</f>
      </c>
      <c r="C468" s="2">
        <f>IF(N(F467)&gt;0.005,N(F467)*$B$5/12,"")</f>
      </c>
      <c r="D468" s="2">
        <f>IF(N(F467)&gt;0.005,N(B468)-N(C468),"")</f>
      </c>
      <c r="E468" s="3">
        <v>0</v>
      </c>
      <c r="F468" s="2">
        <f>IF(N(F467)&gt;0.005,MAX(0,N(F467)-N(D468)-N(E468)),"")</f>
      </c>
    </row>
    <row r="469">
      <c r="A469" s="1">
        <f>IF(N(F468)&gt;0.005,459,"")</f>
      </c>
      <c r="B469" s="2">
        <f>IF(N(F468)&gt;0.005,MIN($B$7,N(F468)*(1+$B$5/12)),"")</f>
      </c>
      <c r="C469" s="2">
        <f>IF(N(F468)&gt;0.005,N(F468)*$B$5/12,"")</f>
      </c>
      <c r="D469" s="2">
        <f>IF(N(F468)&gt;0.005,N(B469)-N(C469),"")</f>
      </c>
      <c r="E469" s="3">
        <v>0</v>
      </c>
      <c r="F469" s="2">
        <f>IF(N(F468)&gt;0.005,MAX(0,N(F468)-N(D469)-N(E469)),"")</f>
      </c>
    </row>
    <row r="470">
      <c r="A470" s="1">
        <f>IF(N(F469)&gt;0.005,460,"")</f>
      </c>
      <c r="B470" s="2">
        <f>IF(N(F469)&gt;0.005,MIN($B$7,N(F469)*(1+$B$5/12)),"")</f>
      </c>
      <c r="C470" s="2">
        <f>IF(N(F469)&gt;0.005,N(F469)*$B$5/12,"")</f>
      </c>
      <c r="D470" s="2">
        <f>IF(N(F469)&gt;0.005,N(B470)-N(C470),"")</f>
      </c>
      <c r="E470" s="3">
        <v>0</v>
      </c>
      <c r="F470" s="2">
        <f>IF(N(F469)&gt;0.005,MAX(0,N(F469)-N(D470)-N(E470)),"")</f>
      </c>
    </row>
    <row r="471">
      <c r="A471" s="1">
        <f>IF(N(F470)&gt;0.005,461,"")</f>
      </c>
      <c r="B471" s="2">
        <f>IF(N(F470)&gt;0.005,MIN($B$7,N(F470)*(1+$B$5/12)),"")</f>
      </c>
      <c r="C471" s="2">
        <f>IF(N(F470)&gt;0.005,N(F470)*$B$5/12,"")</f>
      </c>
      <c r="D471" s="2">
        <f>IF(N(F470)&gt;0.005,N(B471)-N(C471),"")</f>
      </c>
      <c r="E471" s="3">
        <v>0</v>
      </c>
      <c r="F471" s="2">
        <f>IF(N(F470)&gt;0.005,MAX(0,N(F470)-N(D471)-N(E471)),"")</f>
      </c>
    </row>
    <row r="472">
      <c r="A472" s="1">
        <f>IF(N(F471)&gt;0.005,462,"")</f>
      </c>
      <c r="B472" s="2">
        <f>IF(N(F471)&gt;0.005,MIN($B$7,N(F471)*(1+$B$5/12)),"")</f>
      </c>
      <c r="C472" s="2">
        <f>IF(N(F471)&gt;0.005,N(F471)*$B$5/12,"")</f>
      </c>
      <c r="D472" s="2">
        <f>IF(N(F471)&gt;0.005,N(B472)-N(C472),"")</f>
      </c>
      <c r="E472" s="3">
        <v>0</v>
      </c>
      <c r="F472" s="2">
        <f>IF(N(F471)&gt;0.005,MAX(0,N(F471)-N(D472)-N(E472)),"")</f>
      </c>
    </row>
    <row r="473">
      <c r="A473" s="1">
        <f>IF(N(F472)&gt;0.005,463,"")</f>
      </c>
      <c r="B473" s="2">
        <f>IF(N(F472)&gt;0.005,MIN($B$7,N(F472)*(1+$B$5/12)),"")</f>
      </c>
      <c r="C473" s="2">
        <f>IF(N(F472)&gt;0.005,N(F472)*$B$5/12,"")</f>
      </c>
      <c r="D473" s="2">
        <f>IF(N(F472)&gt;0.005,N(B473)-N(C473),"")</f>
      </c>
      <c r="E473" s="3">
        <v>0</v>
      </c>
      <c r="F473" s="2">
        <f>IF(N(F472)&gt;0.005,MAX(0,N(F472)-N(D473)-N(E473)),"")</f>
      </c>
    </row>
    <row r="474">
      <c r="A474" s="1">
        <f>IF(N(F473)&gt;0.005,464,"")</f>
      </c>
      <c r="B474" s="2">
        <f>IF(N(F473)&gt;0.005,MIN($B$7,N(F473)*(1+$B$5/12)),"")</f>
      </c>
      <c r="C474" s="2">
        <f>IF(N(F473)&gt;0.005,N(F473)*$B$5/12,"")</f>
      </c>
      <c r="D474" s="2">
        <f>IF(N(F473)&gt;0.005,N(B474)-N(C474),"")</f>
      </c>
      <c r="E474" s="3">
        <v>0</v>
      </c>
      <c r="F474" s="2">
        <f>IF(N(F473)&gt;0.005,MAX(0,N(F473)-N(D474)-N(E474)),"")</f>
      </c>
    </row>
    <row r="475">
      <c r="A475" s="1">
        <f>IF(N(F474)&gt;0.005,465,"")</f>
      </c>
      <c r="B475" s="2">
        <f>IF(N(F474)&gt;0.005,MIN($B$7,N(F474)*(1+$B$5/12)),"")</f>
      </c>
      <c r="C475" s="2">
        <f>IF(N(F474)&gt;0.005,N(F474)*$B$5/12,"")</f>
      </c>
      <c r="D475" s="2">
        <f>IF(N(F474)&gt;0.005,N(B475)-N(C475),"")</f>
      </c>
      <c r="E475" s="3">
        <v>0</v>
      </c>
      <c r="F475" s="2">
        <f>IF(N(F474)&gt;0.005,MAX(0,N(F474)-N(D475)-N(E475)),"")</f>
      </c>
    </row>
    <row r="476">
      <c r="A476" s="1">
        <f>IF(N(F475)&gt;0.005,466,"")</f>
      </c>
      <c r="B476" s="2">
        <f>IF(N(F475)&gt;0.005,MIN($B$7,N(F475)*(1+$B$5/12)),"")</f>
      </c>
      <c r="C476" s="2">
        <f>IF(N(F475)&gt;0.005,N(F475)*$B$5/12,"")</f>
      </c>
      <c r="D476" s="2">
        <f>IF(N(F475)&gt;0.005,N(B476)-N(C476),"")</f>
      </c>
      <c r="E476" s="3">
        <v>0</v>
      </c>
      <c r="F476" s="2">
        <f>IF(N(F475)&gt;0.005,MAX(0,N(F475)-N(D476)-N(E476)),"")</f>
      </c>
    </row>
    <row r="477">
      <c r="A477" s="1">
        <f>IF(N(F476)&gt;0.005,467,"")</f>
      </c>
      <c r="B477" s="2">
        <f>IF(N(F476)&gt;0.005,MIN($B$7,N(F476)*(1+$B$5/12)),"")</f>
      </c>
      <c r="C477" s="2">
        <f>IF(N(F476)&gt;0.005,N(F476)*$B$5/12,"")</f>
      </c>
      <c r="D477" s="2">
        <f>IF(N(F476)&gt;0.005,N(B477)-N(C477),"")</f>
      </c>
      <c r="E477" s="3">
        <v>0</v>
      </c>
      <c r="F477" s="2">
        <f>IF(N(F476)&gt;0.005,MAX(0,N(F476)-N(D477)-N(E477)),"")</f>
      </c>
    </row>
    <row r="478">
      <c r="A478" s="1">
        <f>IF(N(F477)&gt;0.005,468,"")</f>
      </c>
      <c r="B478" s="2">
        <f>IF(N(F477)&gt;0.005,MIN($B$7,N(F477)*(1+$B$5/12)),"")</f>
      </c>
      <c r="C478" s="2">
        <f>IF(N(F477)&gt;0.005,N(F477)*$B$5/12,"")</f>
      </c>
      <c r="D478" s="2">
        <f>IF(N(F477)&gt;0.005,N(B478)-N(C478),"")</f>
      </c>
      <c r="E478" s="3">
        <v>0</v>
      </c>
      <c r="F478" s="2">
        <f>IF(N(F477)&gt;0.005,MAX(0,N(F477)-N(D478)-N(E478)),"")</f>
      </c>
    </row>
    <row r="479">
      <c r="A479" s="1">
        <f>IF(N(F478)&gt;0.005,469,"")</f>
      </c>
      <c r="B479" s="2">
        <f>IF(N(F478)&gt;0.005,MIN($B$7,N(F478)*(1+$B$5/12)),"")</f>
      </c>
      <c r="C479" s="2">
        <f>IF(N(F478)&gt;0.005,N(F478)*$B$5/12,"")</f>
      </c>
      <c r="D479" s="2">
        <f>IF(N(F478)&gt;0.005,N(B479)-N(C479),"")</f>
      </c>
      <c r="E479" s="3">
        <v>0</v>
      </c>
      <c r="F479" s="2">
        <f>IF(N(F478)&gt;0.005,MAX(0,N(F478)-N(D479)-N(E479)),"")</f>
      </c>
    </row>
    <row r="480">
      <c r="A480" s="1">
        <f>IF(N(F479)&gt;0.005,470,"")</f>
      </c>
      <c r="B480" s="2">
        <f>IF(N(F479)&gt;0.005,MIN($B$7,N(F479)*(1+$B$5/12)),"")</f>
      </c>
      <c r="C480" s="2">
        <f>IF(N(F479)&gt;0.005,N(F479)*$B$5/12,"")</f>
      </c>
      <c r="D480" s="2">
        <f>IF(N(F479)&gt;0.005,N(B480)-N(C480),"")</f>
      </c>
      <c r="E480" s="3">
        <v>0</v>
      </c>
      <c r="F480" s="2">
        <f>IF(N(F479)&gt;0.005,MAX(0,N(F479)-N(D480)-N(E480)),"")</f>
      </c>
    </row>
    <row r="481">
      <c r="A481" s="1">
        <f>IF(N(F480)&gt;0.005,471,"")</f>
      </c>
      <c r="B481" s="2">
        <f>IF(N(F480)&gt;0.005,MIN($B$7,N(F480)*(1+$B$5/12)),"")</f>
      </c>
      <c r="C481" s="2">
        <f>IF(N(F480)&gt;0.005,N(F480)*$B$5/12,"")</f>
      </c>
      <c r="D481" s="2">
        <f>IF(N(F480)&gt;0.005,N(B481)-N(C481),"")</f>
      </c>
      <c r="E481" s="3">
        <v>0</v>
      </c>
      <c r="F481" s="2">
        <f>IF(N(F480)&gt;0.005,MAX(0,N(F480)-N(D481)-N(E481)),"")</f>
      </c>
    </row>
    <row r="482">
      <c r="A482" s="1">
        <f>IF(N(F481)&gt;0.005,472,"")</f>
      </c>
      <c r="B482" s="2">
        <f>IF(N(F481)&gt;0.005,MIN($B$7,N(F481)*(1+$B$5/12)),"")</f>
      </c>
      <c r="C482" s="2">
        <f>IF(N(F481)&gt;0.005,N(F481)*$B$5/12,"")</f>
      </c>
      <c r="D482" s="2">
        <f>IF(N(F481)&gt;0.005,N(B482)-N(C482),"")</f>
      </c>
      <c r="E482" s="3">
        <v>0</v>
      </c>
      <c r="F482" s="2">
        <f>IF(N(F481)&gt;0.005,MAX(0,N(F481)-N(D482)-N(E482)),"")</f>
      </c>
    </row>
    <row r="483">
      <c r="A483" s="1">
        <f>IF(N(F482)&gt;0.005,473,"")</f>
      </c>
      <c r="B483" s="2">
        <f>IF(N(F482)&gt;0.005,MIN($B$7,N(F482)*(1+$B$5/12)),"")</f>
      </c>
      <c r="C483" s="2">
        <f>IF(N(F482)&gt;0.005,N(F482)*$B$5/12,"")</f>
      </c>
      <c r="D483" s="2">
        <f>IF(N(F482)&gt;0.005,N(B483)-N(C483),"")</f>
      </c>
      <c r="E483" s="3">
        <v>0</v>
      </c>
      <c r="F483" s="2">
        <f>IF(N(F482)&gt;0.005,MAX(0,N(F482)-N(D483)-N(E483)),"")</f>
      </c>
    </row>
    <row r="484">
      <c r="A484" s="1">
        <f>IF(N(F483)&gt;0.005,474,"")</f>
      </c>
      <c r="B484" s="2">
        <f>IF(N(F483)&gt;0.005,MIN($B$7,N(F483)*(1+$B$5/12)),"")</f>
      </c>
      <c r="C484" s="2">
        <f>IF(N(F483)&gt;0.005,N(F483)*$B$5/12,"")</f>
      </c>
      <c r="D484" s="2">
        <f>IF(N(F483)&gt;0.005,N(B484)-N(C484),"")</f>
      </c>
      <c r="E484" s="3">
        <v>0</v>
      </c>
      <c r="F484" s="2">
        <f>IF(N(F483)&gt;0.005,MAX(0,N(F483)-N(D484)-N(E484)),"")</f>
      </c>
    </row>
    <row r="485">
      <c r="A485" s="1">
        <f>IF(N(F484)&gt;0.005,475,"")</f>
      </c>
      <c r="B485" s="2">
        <f>IF(N(F484)&gt;0.005,MIN($B$7,N(F484)*(1+$B$5/12)),"")</f>
      </c>
      <c r="C485" s="2">
        <f>IF(N(F484)&gt;0.005,N(F484)*$B$5/12,"")</f>
      </c>
      <c r="D485" s="2">
        <f>IF(N(F484)&gt;0.005,N(B485)-N(C485),"")</f>
      </c>
      <c r="E485" s="3">
        <v>0</v>
      </c>
      <c r="F485" s="2">
        <f>IF(N(F484)&gt;0.005,MAX(0,N(F484)-N(D485)-N(E485)),"")</f>
      </c>
    </row>
    <row r="486">
      <c r="A486" s="1">
        <f>IF(N(F485)&gt;0.005,476,"")</f>
      </c>
      <c r="B486" s="2">
        <f>IF(N(F485)&gt;0.005,MIN($B$7,N(F485)*(1+$B$5/12)),"")</f>
      </c>
      <c r="C486" s="2">
        <f>IF(N(F485)&gt;0.005,N(F485)*$B$5/12,"")</f>
      </c>
      <c r="D486" s="2">
        <f>IF(N(F485)&gt;0.005,N(B486)-N(C486),"")</f>
      </c>
      <c r="E486" s="3">
        <v>0</v>
      </c>
      <c r="F486" s="2">
        <f>IF(N(F485)&gt;0.005,MAX(0,N(F485)-N(D486)-N(E486)),"")</f>
      </c>
    </row>
    <row r="487">
      <c r="A487" s="1">
        <f>IF(N(F486)&gt;0.005,477,"")</f>
      </c>
      <c r="B487" s="2">
        <f>IF(N(F486)&gt;0.005,MIN($B$7,N(F486)*(1+$B$5/12)),"")</f>
      </c>
      <c r="C487" s="2">
        <f>IF(N(F486)&gt;0.005,N(F486)*$B$5/12,"")</f>
      </c>
      <c r="D487" s="2">
        <f>IF(N(F486)&gt;0.005,N(B487)-N(C487),"")</f>
      </c>
      <c r="E487" s="3">
        <v>0</v>
      </c>
      <c r="F487" s="2">
        <f>IF(N(F486)&gt;0.005,MAX(0,N(F486)-N(D487)-N(E487)),"")</f>
      </c>
    </row>
    <row r="488">
      <c r="A488" s="1">
        <f>IF(N(F487)&gt;0.005,478,"")</f>
      </c>
      <c r="B488" s="2">
        <f>IF(N(F487)&gt;0.005,MIN($B$7,N(F487)*(1+$B$5/12)),"")</f>
      </c>
      <c r="C488" s="2">
        <f>IF(N(F487)&gt;0.005,N(F487)*$B$5/12,"")</f>
      </c>
      <c r="D488" s="2">
        <f>IF(N(F487)&gt;0.005,N(B488)-N(C488),"")</f>
      </c>
      <c r="E488" s="3">
        <v>0</v>
      </c>
      <c r="F488" s="2">
        <f>IF(N(F487)&gt;0.005,MAX(0,N(F487)-N(D488)-N(E488)),"")</f>
      </c>
    </row>
    <row r="489">
      <c r="A489" s="1">
        <f>IF(N(F488)&gt;0.005,479,"")</f>
      </c>
      <c r="B489" s="2">
        <f>IF(N(F488)&gt;0.005,MIN($B$7,N(F488)*(1+$B$5/12)),"")</f>
      </c>
      <c r="C489" s="2">
        <f>IF(N(F488)&gt;0.005,N(F488)*$B$5/12,"")</f>
      </c>
      <c r="D489" s="2">
        <f>IF(N(F488)&gt;0.005,N(B489)-N(C489),"")</f>
      </c>
      <c r="E489" s="3">
        <v>0</v>
      </c>
      <c r="F489" s="2">
        <f>IF(N(F488)&gt;0.005,MAX(0,N(F488)-N(D489)-N(E489)),"")</f>
      </c>
    </row>
    <row r="490">
      <c r="A490" s="1">
        <f>IF(N(F489)&gt;0.005,480,"")</f>
      </c>
      <c r="B490" s="2">
        <f>IF(N(F489)&gt;0.005,MIN($B$7,N(F489)*(1+$B$5/12)),"")</f>
      </c>
      <c r="C490" s="2">
        <f>IF(N(F489)&gt;0.005,N(F489)*$B$5/12,"")</f>
      </c>
      <c r="D490" s="2">
        <f>IF(N(F489)&gt;0.005,N(B490)-N(C490),"")</f>
      </c>
      <c r="E490" s="3">
        <v>0</v>
      </c>
      <c r="F490" s="2">
        <f>IF(N(F489)&gt;0.005,MAX(0,N(F489)-N(D490)-N(E490)),"")</f>
      </c>
    </row>
    <row r="492">
      <c r="A492" s="10" t="inlineStr">
        <is>
          <t xml:space="preserve">Extra Payment column (blue): optional additional principal each month - the schedule shortens automatically. Assumes payments at month end.</t>
        </is>
      </c>
    </row>
  </sheetData>
</worksheet>
</file>